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C5BBEC4A-F80F-4A4E-8337-2900C839CB1C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F4A5E729-3874-48A6-8941-7D1263F08C92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2" l="1"/>
  <c r="I269" i="1"/>
  <c r="F280" i="1"/>
  <c r="H278" i="1"/>
  <c r="K277" i="1"/>
  <c r="H276" i="1"/>
  <c r="H274" i="1"/>
  <c r="I273" i="1"/>
  <c r="H273" i="1"/>
  <c r="H282" i="1" s="1"/>
  <c r="H330" i="1" s="1"/>
  <c r="H344" i="1" s="1"/>
  <c r="I271" i="1"/>
  <c r="I282" i="1" s="1"/>
  <c r="I330" i="1" s="1"/>
  <c r="I344" i="1" s="1"/>
  <c r="H271" i="1"/>
  <c r="G271" i="1"/>
  <c r="G282" i="1" s="1"/>
  <c r="G330" i="1" s="1"/>
  <c r="G344" i="1" s="1"/>
  <c r="F271" i="1"/>
  <c r="L271" i="1" s="1"/>
  <c r="G269" i="1"/>
  <c r="I268" i="1"/>
  <c r="G268" i="1"/>
  <c r="F268" i="1"/>
  <c r="I350" i="1"/>
  <c r="H350" i="1"/>
  <c r="G350" i="1"/>
  <c r="F350" i="1"/>
  <c r="F354" i="1" s="1"/>
  <c r="H190" i="1"/>
  <c r="H196" i="1"/>
  <c r="F194" i="1"/>
  <c r="L194" i="1" s="1"/>
  <c r="F569" i="1"/>
  <c r="I516" i="1"/>
  <c r="G516" i="1"/>
  <c r="G519" i="1" s="1"/>
  <c r="G535" i="1" s="1"/>
  <c r="F516" i="1"/>
  <c r="F519" i="1" s="1"/>
  <c r="H195" i="1"/>
  <c r="J199" i="1"/>
  <c r="I199" i="1"/>
  <c r="H199" i="1"/>
  <c r="G199" i="1"/>
  <c r="F199" i="1"/>
  <c r="L199" i="1" s="1"/>
  <c r="H198" i="1"/>
  <c r="K197" i="1"/>
  <c r="G12" i="13" s="1"/>
  <c r="G33" i="13" s="1"/>
  <c r="I197" i="1"/>
  <c r="H197" i="1"/>
  <c r="G197" i="1"/>
  <c r="F197" i="1"/>
  <c r="L197" i="1" s="1"/>
  <c r="K196" i="1"/>
  <c r="I196" i="1"/>
  <c r="G196" i="1"/>
  <c r="I195" i="1"/>
  <c r="G195" i="1"/>
  <c r="F195" i="1"/>
  <c r="L195" i="1" s="1"/>
  <c r="J194" i="1"/>
  <c r="F6" i="13" s="1"/>
  <c r="I194" i="1"/>
  <c r="I203" i="1" s="1"/>
  <c r="I249" i="1" s="1"/>
  <c r="I263" i="1" s="1"/>
  <c r="H194" i="1"/>
  <c r="G194" i="1"/>
  <c r="I192" i="1"/>
  <c r="H192" i="1"/>
  <c r="G192" i="1"/>
  <c r="F192" i="1"/>
  <c r="I190" i="1"/>
  <c r="G190" i="1"/>
  <c r="G203" i="1" s="1"/>
  <c r="G249" i="1" s="1"/>
  <c r="G263" i="1" s="1"/>
  <c r="F190" i="1"/>
  <c r="F203" i="1" s="1"/>
  <c r="F249" i="1" s="1"/>
  <c r="F263" i="1" s="1"/>
  <c r="J189" i="1"/>
  <c r="I189" i="1"/>
  <c r="H189" i="1"/>
  <c r="H203" i="1" s="1"/>
  <c r="G189" i="1"/>
  <c r="C9" i="12" s="1"/>
  <c r="F189" i="1"/>
  <c r="F458" i="1"/>
  <c r="F25" i="1"/>
  <c r="F24" i="1"/>
  <c r="H30" i="1"/>
  <c r="D9" i="13"/>
  <c r="E8" i="13" s="1"/>
  <c r="H225" i="1"/>
  <c r="L225" i="1" s="1"/>
  <c r="C37" i="10"/>
  <c r="C60" i="2"/>
  <c r="B2" i="13"/>
  <c r="F8" i="13"/>
  <c r="G8" i="13"/>
  <c r="L214" i="1"/>
  <c r="L232" i="1"/>
  <c r="D39" i="13"/>
  <c r="F13" i="13"/>
  <c r="G13" i="13"/>
  <c r="L198" i="1"/>
  <c r="L216" i="1"/>
  <c r="L234" i="1"/>
  <c r="F16" i="13"/>
  <c r="G16" i="13"/>
  <c r="E16" i="13" s="1"/>
  <c r="C16" i="13" s="1"/>
  <c r="L201" i="1"/>
  <c r="L219" i="1"/>
  <c r="L237" i="1"/>
  <c r="G5" i="13"/>
  <c r="L191" i="1"/>
  <c r="L192" i="1"/>
  <c r="C104" i="2" s="1"/>
  <c r="L207" i="1"/>
  <c r="L208" i="1"/>
  <c r="L209" i="1"/>
  <c r="C12" i="10" s="1"/>
  <c r="L210" i="1"/>
  <c r="L226" i="1"/>
  <c r="L227" i="1"/>
  <c r="L228" i="1"/>
  <c r="G6" i="13"/>
  <c r="L212" i="1"/>
  <c r="L230" i="1"/>
  <c r="F7" i="13"/>
  <c r="G7" i="13"/>
  <c r="L213" i="1"/>
  <c r="L231" i="1"/>
  <c r="F12" i="13"/>
  <c r="L215" i="1"/>
  <c r="L233" i="1"/>
  <c r="F14" i="13"/>
  <c r="G14" i="13"/>
  <c r="L217" i="1"/>
  <c r="L235" i="1"/>
  <c r="F15" i="13"/>
  <c r="G15" i="13"/>
  <c r="L200" i="1"/>
  <c r="F652" i="1" s="1"/>
  <c r="L218" i="1"/>
  <c r="D15" i="13" s="1"/>
  <c r="C15" i="13" s="1"/>
  <c r="L236" i="1"/>
  <c r="H652" i="1" s="1"/>
  <c r="F17" i="13"/>
  <c r="G17" i="13"/>
  <c r="L243" i="1"/>
  <c r="C24" i="10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1" i="1"/>
  <c r="L352" i="1"/>
  <c r="I359" i="1"/>
  <c r="J282" i="1"/>
  <c r="J301" i="1"/>
  <c r="J320" i="1"/>
  <c r="F31" i="13" s="1"/>
  <c r="K282" i="1"/>
  <c r="K301" i="1"/>
  <c r="G31" i="13" s="1"/>
  <c r="K320" i="1"/>
  <c r="L268" i="1"/>
  <c r="L269" i="1"/>
  <c r="L270" i="1"/>
  <c r="E103" i="2" s="1"/>
  <c r="L274" i="1"/>
  <c r="L275" i="1"/>
  <c r="C17" i="10" s="1"/>
  <c r="L276" i="1"/>
  <c r="E113" i="2" s="1"/>
  <c r="L277" i="1"/>
  <c r="E114" i="2" s="1"/>
  <c r="L296" i="1"/>
  <c r="L278" i="1"/>
  <c r="L279" i="1"/>
  <c r="L280" i="1"/>
  <c r="L287" i="1"/>
  <c r="L288" i="1"/>
  <c r="L289" i="1"/>
  <c r="L290" i="1"/>
  <c r="L301" i="1" s="1"/>
  <c r="L292" i="1"/>
  <c r="L293" i="1"/>
  <c r="E111" i="2" s="1"/>
  <c r="L294" i="1"/>
  <c r="E112" i="2"/>
  <c r="L295" i="1"/>
  <c r="L297" i="1"/>
  <c r="L298" i="1"/>
  <c r="L299" i="1"/>
  <c r="L306" i="1"/>
  <c r="L307" i="1"/>
  <c r="L308" i="1"/>
  <c r="L320" i="1" s="1"/>
  <c r="L309" i="1"/>
  <c r="L311" i="1"/>
  <c r="L312" i="1"/>
  <c r="L313" i="1"/>
  <c r="L314" i="1"/>
  <c r="L315" i="1"/>
  <c r="L316" i="1"/>
  <c r="L317" i="1"/>
  <c r="L318" i="1"/>
  <c r="E117" i="2" s="1"/>
  <c r="L325" i="1"/>
  <c r="E106" i="2" s="1"/>
  <c r="L326" i="1"/>
  <c r="L327" i="1"/>
  <c r="L252" i="1"/>
  <c r="C32" i="10" s="1"/>
  <c r="L253" i="1"/>
  <c r="C124" i="2"/>
  <c r="L333" i="1"/>
  <c r="L334" i="1"/>
  <c r="L247" i="1"/>
  <c r="C122" i="2"/>
  <c r="L328" i="1"/>
  <c r="F22" i="13" s="1"/>
  <c r="C22" i="13" s="1"/>
  <c r="C11" i="13"/>
  <c r="C10" i="13"/>
  <c r="C9" i="13"/>
  <c r="L353" i="1"/>
  <c r="B4" i="12"/>
  <c r="B36" i="12"/>
  <c r="B40" i="12"/>
  <c r="C40" i="12"/>
  <c r="B27" i="12"/>
  <c r="C27" i="12"/>
  <c r="B31" i="12"/>
  <c r="A31" i="12" s="1"/>
  <c r="C31" i="12"/>
  <c r="B9" i="12"/>
  <c r="A13" i="12" s="1"/>
  <c r="B13" i="12"/>
  <c r="C13" i="12"/>
  <c r="B22" i="12"/>
  <c r="C22" i="12"/>
  <c r="B1" i="12"/>
  <c r="L379" i="1"/>
  <c r="L380" i="1"/>
  <c r="L385" i="1" s="1"/>
  <c r="L381" i="1"/>
  <c r="L382" i="1"/>
  <c r="L383" i="1"/>
  <c r="L384" i="1"/>
  <c r="L387" i="1"/>
  <c r="L388" i="1"/>
  <c r="L389" i="1"/>
  <c r="L390" i="1"/>
  <c r="L391" i="1"/>
  <c r="L392" i="1"/>
  <c r="L395" i="1"/>
  <c r="L396" i="1"/>
  <c r="L399" i="1" s="1"/>
  <c r="C132" i="2" s="1"/>
  <c r="L397" i="1"/>
  <c r="L398" i="1"/>
  <c r="L258" i="1"/>
  <c r="J52" i="1"/>
  <c r="J104" i="1" s="1"/>
  <c r="J185" i="1" s="1"/>
  <c r="G51" i="2"/>
  <c r="G54" i="2" s="1"/>
  <c r="G53" i="2"/>
  <c r="F2" i="11"/>
  <c r="L603" i="1"/>
  <c r="H653" i="1"/>
  <c r="L602" i="1"/>
  <c r="G653" i="1"/>
  <c r="L601" i="1"/>
  <c r="L604" i="1" s="1"/>
  <c r="F653" i="1"/>
  <c r="I653" i="1" s="1"/>
  <c r="C40" i="10"/>
  <c r="F52" i="1"/>
  <c r="C48" i="2" s="1"/>
  <c r="C55" i="2" s="1"/>
  <c r="G52" i="1"/>
  <c r="D48" i="2" s="1"/>
  <c r="D55" i="2" s="1"/>
  <c r="H52" i="1"/>
  <c r="E48" i="2" s="1"/>
  <c r="I52" i="1"/>
  <c r="I104" i="1" s="1"/>
  <c r="F71" i="1"/>
  <c r="F86" i="1"/>
  <c r="C50" i="2"/>
  <c r="F103" i="1"/>
  <c r="F104" i="1" s="1"/>
  <c r="G103" i="1"/>
  <c r="G104" i="1" s="1"/>
  <c r="H71" i="1"/>
  <c r="H104" i="1" s="1"/>
  <c r="H185" i="1" s="1"/>
  <c r="G619" i="1" s="1"/>
  <c r="J619" i="1" s="1"/>
  <c r="H86" i="1"/>
  <c r="H103" i="1"/>
  <c r="I103" i="1"/>
  <c r="J103" i="1"/>
  <c r="F113" i="1"/>
  <c r="F132" i="1" s="1"/>
  <c r="F128" i="1"/>
  <c r="G113" i="1"/>
  <c r="G132" i="1" s="1"/>
  <c r="G128" i="1"/>
  <c r="H113" i="1"/>
  <c r="H128" i="1"/>
  <c r="H132" i="1"/>
  <c r="I113" i="1"/>
  <c r="I128" i="1"/>
  <c r="I132" i="1" s="1"/>
  <c r="J113" i="1"/>
  <c r="J128" i="1"/>
  <c r="J132" i="1"/>
  <c r="F139" i="1"/>
  <c r="C77" i="2"/>
  <c r="C83" i="2" s="1"/>
  <c r="F154" i="1"/>
  <c r="G139" i="1"/>
  <c r="D77" i="2" s="1"/>
  <c r="G154" i="1"/>
  <c r="H139" i="1"/>
  <c r="H154" i="1"/>
  <c r="H161" i="1" s="1"/>
  <c r="I139" i="1"/>
  <c r="I161" i="1" s="1"/>
  <c r="F77" i="2"/>
  <c r="F83" i="2" s="1"/>
  <c r="I154" i="1"/>
  <c r="L242" i="1"/>
  <c r="C105" i="2"/>
  <c r="L324" i="1"/>
  <c r="C23" i="10"/>
  <c r="L246" i="1"/>
  <c r="L260" i="1"/>
  <c r="C134" i="2" s="1"/>
  <c r="L261" i="1"/>
  <c r="C26" i="10" s="1"/>
  <c r="L341" i="1"/>
  <c r="E134" i="2"/>
  <c r="L342" i="1"/>
  <c r="I655" i="1"/>
  <c r="I660" i="1"/>
  <c r="I659" i="1"/>
  <c r="C42" i="10"/>
  <c r="L366" i="1"/>
  <c r="L367" i="1"/>
  <c r="L374" i="1" s="1"/>
  <c r="G626" i="1" s="1"/>
  <c r="J626" i="1" s="1"/>
  <c r="L368" i="1"/>
  <c r="L369" i="1"/>
  <c r="C29" i="10" s="1"/>
  <c r="L370" i="1"/>
  <c r="L371" i="1"/>
  <c r="L372" i="1"/>
  <c r="B2" i="10"/>
  <c r="L336" i="1"/>
  <c r="E126" i="2"/>
  <c r="L337" i="1"/>
  <c r="E127" i="2"/>
  <c r="L338" i="1"/>
  <c r="L339" i="1"/>
  <c r="L343" i="1" s="1"/>
  <c r="K343" i="1"/>
  <c r="L511" i="1"/>
  <c r="F539" i="1" s="1"/>
  <c r="L512" i="1"/>
  <c r="F540" i="1"/>
  <c r="L513" i="1"/>
  <c r="F541" i="1" s="1"/>
  <c r="K541" i="1" s="1"/>
  <c r="L516" i="1"/>
  <c r="G539" i="1" s="1"/>
  <c r="G542" i="1" s="1"/>
  <c r="L517" i="1"/>
  <c r="G540" i="1" s="1"/>
  <c r="L518" i="1"/>
  <c r="L519" i="1" s="1"/>
  <c r="G541" i="1"/>
  <c r="L521" i="1"/>
  <c r="H539" i="1" s="1"/>
  <c r="H542" i="1" s="1"/>
  <c r="L522" i="1"/>
  <c r="H540" i="1"/>
  <c r="L523" i="1"/>
  <c r="H541" i="1"/>
  <c r="L526" i="1"/>
  <c r="I539" i="1"/>
  <c r="L527" i="1"/>
  <c r="I540" i="1"/>
  <c r="L528" i="1"/>
  <c r="I541" i="1"/>
  <c r="L531" i="1"/>
  <c r="L534" i="1" s="1"/>
  <c r="L532" i="1"/>
  <c r="J540" i="1" s="1"/>
  <c r="L533" i="1"/>
  <c r="J541" i="1" s="1"/>
  <c r="E124" i="2"/>
  <c r="K262" i="1"/>
  <c r="J262" i="1"/>
  <c r="I262" i="1"/>
  <c r="H262" i="1"/>
  <c r="G262" i="1"/>
  <c r="F262" i="1"/>
  <c r="L262" i="1"/>
  <c r="C123" i="2"/>
  <c r="A1" i="2"/>
  <c r="A2" i="2"/>
  <c r="C9" i="2"/>
  <c r="C19" i="2" s="1"/>
  <c r="D9" i="2"/>
  <c r="E9" i="2"/>
  <c r="F9" i="2"/>
  <c r="I431" i="1"/>
  <c r="C10" i="2"/>
  <c r="D10" i="2"/>
  <c r="E10" i="2"/>
  <c r="E19" i="2" s="1"/>
  <c r="F10" i="2"/>
  <c r="I432" i="1"/>
  <c r="I438" i="1" s="1"/>
  <c r="G632" i="1" s="1"/>
  <c r="C11" i="2"/>
  <c r="C12" i="2"/>
  <c r="D12" i="2"/>
  <c r="E12" i="2"/>
  <c r="F12" i="2"/>
  <c r="I433" i="1"/>
  <c r="J12" i="1"/>
  <c r="G12" i="2" s="1"/>
  <c r="C13" i="2"/>
  <c r="D13" i="2"/>
  <c r="D19" i="2" s="1"/>
  <c r="E13" i="2"/>
  <c r="F13" i="2"/>
  <c r="I434" i="1"/>
  <c r="J13" i="1" s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 s="1"/>
  <c r="G18" i="2" s="1"/>
  <c r="C22" i="2"/>
  <c r="D22" i="2"/>
  <c r="E22" i="2"/>
  <c r="F22" i="2"/>
  <c r="F32" i="2" s="1"/>
  <c r="I440" i="1"/>
  <c r="I444" i="1" s="1"/>
  <c r="J23" i="1"/>
  <c r="J33" i="1" s="1"/>
  <c r="C23" i="2"/>
  <c r="C32" i="2" s="1"/>
  <c r="D23" i="2"/>
  <c r="E23" i="2"/>
  <c r="F23" i="2"/>
  <c r="I441" i="1"/>
  <c r="J24" i="1" s="1"/>
  <c r="G23" i="2" s="1"/>
  <c r="C24" i="2"/>
  <c r="D24" i="2"/>
  <c r="E24" i="2"/>
  <c r="E32" i="2" s="1"/>
  <c r="F24" i="2"/>
  <c r="F25" i="2"/>
  <c r="F26" i="2"/>
  <c r="F27" i="2"/>
  <c r="F28" i="2"/>
  <c r="F29" i="2"/>
  <c r="F30" i="2"/>
  <c r="F31" i="2"/>
  <c r="I442" i="1"/>
  <c r="C25" i="2"/>
  <c r="D25" i="2"/>
  <c r="D32" i="2" s="1"/>
  <c r="E25" i="2"/>
  <c r="C26" i="2"/>
  <c r="C27" i="2"/>
  <c r="C28" i="2"/>
  <c r="D28" i="2"/>
  <c r="E28" i="2"/>
  <c r="C29" i="2"/>
  <c r="D29" i="2"/>
  <c r="E29" i="2"/>
  <c r="C30" i="2"/>
  <c r="D30" i="2"/>
  <c r="E30" i="2"/>
  <c r="C31" i="2"/>
  <c r="D31" i="2"/>
  <c r="E31" i="2"/>
  <c r="I443" i="1"/>
  <c r="J32" i="1"/>
  <c r="G31" i="2" s="1"/>
  <c r="C34" i="2"/>
  <c r="D34" i="2"/>
  <c r="E34" i="2"/>
  <c r="F34" i="2"/>
  <c r="C35" i="2"/>
  <c r="C42" i="2" s="1"/>
  <c r="C43" i="2" s="1"/>
  <c r="D35" i="2"/>
  <c r="E35" i="2"/>
  <c r="E42" i="2" s="1"/>
  <c r="F35" i="2"/>
  <c r="F42" i="2" s="1"/>
  <c r="F43" i="2" s="1"/>
  <c r="C36" i="2"/>
  <c r="D36" i="2"/>
  <c r="E36" i="2"/>
  <c r="F36" i="2"/>
  <c r="I446" i="1"/>
  <c r="C37" i="2"/>
  <c r="D37" i="2"/>
  <c r="E37" i="2"/>
  <c r="F37" i="2"/>
  <c r="I447" i="1"/>
  <c r="I450" i="1" s="1"/>
  <c r="J38" i="1"/>
  <c r="J43" i="1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F48" i="2"/>
  <c r="C49" i="2"/>
  <c r="C54" i="2" s="1"/>
  <c r="E49" i="2"/>
  <c r="E54" i="2" s="1"/>
  <c r="E50" i="2"/>
  <c r="C51" i="2"/>
  <c r="D51" i="2"/>
  <c r="E51" i="2"/>
  <c r="F51" i="2"/>
  <c r="D52" i="2"/>
  <c r="C53" i="2"/>
  <c r="D53" i="2"/>
  <c r="E53" i="2"/>
  <c r="F53" i="2"/>
  <c r="F54" i="2" s="1"/>
  <c r="F55" i="2" s="1"/>
  <c r="C58" i="2"/>
  <c r="C62" i="2" s="1"/>
  <c r="C59" i="2"/>
  <c r="C61" i="2"/>
  <c r="D61" i="2"/>
  <c r="D62" i="2" s="1"/>
  <c r="E61" i="2"/>
  <c r="E62" i="2" s="1"/>
  <c r="F61" i="2"/>
  <c r="F62" i="2" s="1"/>
  <c r="G61" i="2"/>
  <c r="G62" i="2" s="1"/>
  <c r="C64" i="2"/>
  <c r="C70" i="2" s="1"/>
  <c r="C73" i="2" s="1"/>
  <c r="F64" i="2"/>
  <c r="F70" i="2" s="1"/>
  <c r="C65" i="2"/>
  <c r="F65" i="2"/>
  <c r="C66" i="2"/>
  <c r="C67" i="2"/>
  <c r="C68" i="2"/>
  <c r="E68" i="2"/>
  <c r="E69" i="2"/>
  <c r="F68" i="2"/>
  <c r="C69" i="2"/>
  <c r="D69" i="2"/>
  <c r="D70" i="2"/>
  <c r="D73" i="2" s="1"/>
  <c r="F69" i="2"/>
  <c r="G69" i="2"/>
  <c r="G70" i="2" s="1"/>
  <c r="C71" i="2"/>
  <c r="D71" i="2"/>
  <c r="E71" i="2"/>
  <c r="C72" i="2"/>
  <c r="E72" i="2"/>
  <c r="E77" i="2"/>
  <c r="C79" i="2"/>
  <c r="E79" i="2"/>
  <c r="F79" i="2"/>
  <c r="C80" i="2"/>
  <c r="D80" i="2"/>
  <c r="E80" i="2"/>
  <c r="E83" i="2" s="1"/>
  <c r="F80" i="2"/>
  <c r="C81" i="2"/>
  <c r="D81" i="2"/>
  <c r="E81" i="2"/>
  <c r="F81" i="2"/>
  <c r="C82" i="2"/>
  <c r="C85" i="2"/>
  <c r="F85" i="2"/>
  <c r="C86" i="2"/>
  <c r="F86" i="2"/>
  <c r="F95" i="2" s="1"/>
  <c r="D88" i="2"/>
  <c r="D95" i="2" s="1"/>
  <c r="E88" i="2"/>
  <c r="F88" i="2"/>
  <c r="G88" i="2"/>
  <c r="C89" i="2"/>
  <c r="D89" i="2"/>
  <c r="E89" i="2"/>
  <c r="F89" i="2"/>
  <c r="G89" i="2"/>
  <c r="C90" i="2"/>
  <c r="D90" i="2"/>
  <c r="E90" i="2"/>
  <c r="E95" i="2" s="1"/>
  <c r="G90" i="2"/>
  <c r="G95" i="2" s="1"/>
  <c r="C91" i="2"/>
  <c r="C92" i="2"/>
  <c r="C93" i="2"/>
  <c r="C94" i="2"/>
  <c r="D91" i="2"/>
  <c r="E91" i="2"/>
  <c r="F91" i="2"/>
  <c r="D92" i="2"/>
  <c r="E92" i="2"/>
  <c r="F92" i="2"/>
  <c r="D93" i="2"/>
  <c r="E93" i="2"/>
  <c r="F93" i="2"/>
  <c r="D94" i="2"/>
  <c r="E94" i="2"/>
  <c r="F94" i="2"/>
  <c r="E101" i="2"/>
  <c r="C103" i="2"/>
  <c r="D107" i="2"/>
  <c r="F107" i="2"/>
  <c r="G107" i="2"/>
  <c r="G137" i="2" s="1"/>
  <c r="E115" i="2"/>
  <c r="F120" i="2"/>
  <c r="G120" i="2"/>
  <c r="D126" i="2"/>
  <c r="D136" i="2" s="1"/>
  <c r="F126" i="2"/>
  <c r="K411" i="1"/>
  <c r="K426" i="1" s="1"/>
  <c r="G126" i="2" s="1"/>
  <c r="G136" i="2" s="1"/>
  <c r="K419" i="1"/>
  <c r="K425" i="1"/>
  <c r="L255" i="1"/>
  <c r="C127" i="2"/>
  <c r="L256" i="1"/>
  <c r="C128" i="2"/>
  <c r="L257" i="1"/>
  <c r="C129" i="2"/>
  <c r="E129" i="2"/>
  <c r="E135" i="2"/>
  <c r="E105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G149" i="2" s="1"/>
  <c r="F149" i="2"/>
  <c r="B150" i="2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 s="1"/>
  <c r="G490" i="1"/>
  <c r="C153" i="2" s="1"/>
  <c r="H490" i="1"/>
  <c r="D153" i="2" s="1"/>
  <c r="I490" i="1"/>
  <c r="E153" i="2" s="1"/>
  <c r="J490" i="1"/>
  <c r="F153" i="2"/>
  <c r="B154" i="2"/>
  <c r="G154" i="2" s="1"/>
  <c r="C154" i="2"/>
  <c r="D154" i="2"/>
  <c r="E154" i="2"/>
  <c r="F154" i="2"/>
  <c r="B155" i="2"/>
  <c r="C155" i="2"/>
  <c r="D155" i="2"/>
  <c r="E155" i="2"/>
  <c r="F155" i="2"/>
  <c r="F493" i="1"/>
  <c r="K493" i="1" s="1"/>
  <c r="G493" i="1"/>
  <c r="C156" i="2"/>
  <c r="H493" i="1"/>
  <c r="D156" i="2"/>
  <c r="I493" i="1"/>
  <c r="E156" i="2"/>
  <c r="J493" i="1"/>
  <c r="F156" i="2"/>
  <c r="F19" i="1"/>
  <c r="G607" i="1"/>
  <c r="G19" i="1"/>
  <c r="H19" i="1"/>
  <c r="G609" i="1"/>
  <c r="I19" i="1"/>
  <c r="G610" i="1" s="1"/>
  <c r="J610" i="1" s="1"/>
  <c r="F33" i="1"/>
  <c r="G33" i="1"/>
  <c r="H33" i="1"/>
  <c r="I33" i="1"/>
  <c r="F43" i="1"/>
  <c r="G612" i="1" s="1"/>
  <c r="G43" i="1"/>
  <c r="G44" i="1" s="1"/>
  <c r="H608" i="1" s="1"/>
  <c r="J608" i="1" s="1"/>
  <c r="H43" i="1"/>
  <c r="I43" i="1"/>
  <c r="I44" i="1"/>
  <c r="H610" i="1"/>
  <c r="F169" i="1"/>
  <c r="I169" i="1"/>
  <c r="F175" i="1"/>
  <c r="G175" i="1"/>
  <c r="H175" i="1"/>
  <c r="H184" i="1" s="1"/>
  <c r="I175" i="1"/>
  <c r="J175" i="1"/>
  <c r="J184" i="1"/>
  <c r="F180" i="1"/>
  <c r="F184" i="1" s="1"/>
  <c r="G180" i="1"/>
  <c r="G184" i="1" s="1"/>
  <c r="H180" i="1"/>
  <c r="I180" i="1"/>
  <c r="F221" i="1"/>
  <c r="G221" i="1"/>
  <c r="H221" i="1"/>
  <c r="I221" i="1"/>
  <c r="J221" i="1"/>
  <c r="K221" i="1"/>
  <c r="F239" i="1"/>
  <c r="G239" i="1"/>
  <c r="I239" i="1"/>
  <c r="J239" i="1"/>
  <c r="K239" i="1"/>
  <c r="F248" i="1"/>
  <c r="G248" i="1"/>
  <c r="H248" i="1"/>
  <c r="I248" i="1"/>
  <c r="J248" i="1"/>
  <c r="K248" i="1"/>
  <c r="F282" i="1"/>
  <c r="F301" i="1"/>
  <c r="G301" i="1"/>
  <c r="H301" i="1"/>
  <c r="I301" i="1"/>
  <c r="F320" i="1"/>
  <c r="F330" i="1" s="1"/>
  <c r="F344" i="1" s="1"/>
  <c r="G320" i="1"/>
  <c r="H320" i="1"/>
  <c r="I320" i="1"/>
  <c r="F329" i="1"/>
  <c r="G329" i="1"/>
  <c r="H329" i="1"/>
  <c r="I329" i="1"/>
  <c r="J329" i="1"/>
  <c r="K329" i="1"/>
  <c r="G354" i="1"/>
  <c r="H354" i="1"/>
  <c r="I354" i="1"/>
  <c r="G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G400" i="1" s="1"/>
  <c r="H635" i="1" s="1"/>
  <c r="H385" i="1"/>
  <c r="I385" i="1"/>
  <c r="F393" i="1"/>
  <c r="G393" i="1"/>
  <c r="H393" i="1"/>
  <c r="H400" i="1" s="1"/>
  <c r="H634" i="1" s="1"/>
  <c r="J634" i="1" s="1"/>
  <c r="I393" i="1"/>
  <c r="I400" i="1" s="1"/>
  <c r="F399" i="1"/>
  <c r="F400" i="1" s="1"/>
  <c r="H633" i="1" s="1"/>
  <c r="J633" i="1" s="1"/>
  <c r="G399" i="1"/>
  <c r="H399" i="1"/>
  <c r="I399" i="1"/>
  <c r="L405" i="1"/>
  <c r="L406" i="1"/>
  <c r="L407" i="1"/>
  <c r="L411" i="1" s="1"/>
  <c r="L426" i="1" s="1"/>
  <c r="L408" i="1"/>
  <c r="L409" i="1"/>
  <c r="L410" i="1"/>
  <c r="F411" i="1"/>
  <c r="G411" i="1"/>
  <c r="G426" i="1" s="1"/>
  <c r="H411" i="1"/>
  <c r="I411" i="1"/>
  <c r="I426" i="1" s="1"/>
  <c r="J411" i="1"/>
  <c r="L413" i="1"/>
  <c r="L414" i="1"/>
  <c r="L415" i="1"/>
  <c r="L419" i="1" s="1"/>
  <c r="L416" i="1"/>
  <c r="L417" i="1"/>
  <c r="L418" i="1"/>
  <c r="F419" i="1"/>
  <c r="G419" i="1"/>
  <c r="H419" i="1"/>
  <c r="H426" i="1" s="1"/>
  <c r="I419" i="1"/>
  <c r="J419" i="1"/>
  <c r="L421" i="1"/>
  <c r="L422" i="1"/>
  <c r="L423" i="1"/>
  <c r="L425" i="1"/>
  <c r="L424" i="1"/>
  <c r="F425" i="1"/>
  <c r="F426" i="1" s="1"/>
  <c r="G425" i="1"/>
  <c r="H425" i="1"/>
  <c r="I425" i="1"/>
  <c r="J425" i="1"/>
  <c r="F438" i="1"/>
  <c r="G629" i="1" s="1"/>
  <c r="G438" i="1"/>
  <c r="G630" i="1" s="1"/>
  <c r="J630" i="1" s="1"/>
  <c r="H438" i="1"/>
  <c r="G631" i="1"/>
  <c r="J631" i="1" s="1"/>
  <c r="F444" i="1"/>
  <c r="F451" i="1" s="1"/>
  <c r="H629" i="1" s="1"/>
  <c r="G444" i="1"/>
  <c r="G451" i="1" s="1"/>
  <c r="H630" i="1" s="1"/>
  <c r="H444" i="1"/>
  <c r="H451" i="1" s="1"/>
  <c r="H631" i="1" s="1"/>
  <c r="F450" i="1"/>
  <c r="G450" i="1"/>
  <c r="H450" i="1"/>
  <c r="F460" i="1"/>
  <c r="F466" i="1" s="1"/>
  <c r="H612" i="1" s="1"/>
  <c r="G460" i="1"/>
  <c r="G466" i="1" s="1"/>
  <c r="H613" i="1" s="1"/>
  <c r="H460" i="1"/>
  <c r="I460" i="1"/>
  <c r="J460" i="1"/>
  <c r="F464" i="1"/>
  <c r="G464" i="1"/>
  <c r="H464" i="1"/>
  <c r="I464" i="1"/>
  <c r="I466" i="1"/>
  <c r="H615" i="1"/>
  <c r="J464" i="1"/>
  <c r="J466" i="1" s="1"/>
  <c r="H616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H535" i="1" s="1"/>
  <c r="I514" i="1"/>
  <c r="I535" i="1" s="1"/>
  <c r="J514" i="1"/>
  <c r="K514" i="1"/>
  <c r="H519" i="1"/>
  <c r="I519" i="1"/>
  <c r="J519" i="1"/>
  <c r="J535" i="1" s="1"/>
  <c r="K519" i="1"/>
  <c r="K535" i="1" s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47" i="1"/>
  <c r="L548" i="1"/>
  <c r="L550" i="1" s="1"/>
  <c r="L561" i="1" s="1"/>
  <c r="L549" i="1"/>
  <c r="F550" i="1"/>
  <c r="F561" i="1" s="1"/>
  <c r="G550" i="1"/>
  <c r="G561" i="1" s="1"/>
  <c r="H550" i="1"/>
  <c r="I550" i="1"/>
  <c r="I561" i="1" s="1"/>
  <c r="J550" i="1"/>
  <c r="K550" i="1"/>
  <c r="L552" i="1"/>
  <c r="L553" i="1"/>
  <c r="L554" i="1"/>
  <c r="F555" i="1"/>
  <c r="G555" i="1"/>
  <c r="H555" i="1"/>
  <c r="I555" i="1"/>
  <c r="J555" i="1"/>
  <c r="K555" i="1"/>
  <c r="L557" i="1"/>
  <c r="L560" i="1"/>
  <c r="L558" i="1"/>
  <c r="L559" i="1"/>
  <c r="F560" i="1"/>
  <c r="G560" i="1"/>
  <c r="H560" i="1"/>
  <c r="H561" i="1" s="1"/>
  <c r="I560" i="1"/>
  <c r="J560" i="1"/>
  <c r="J561" i="1" s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8" i="1" s="1"/>
  <c r="G637" i="1" s="1"/>
  <c r="K585" i="1"/>
  <c r="K586" i="1"/>
  <c r="K587" i="1"/>
  <c r="H588" i="1"/>
  <c r="H639" i="1" s="1"/>
  <c r="I588" i="1"/>
  <c r="H640" i="1" s="1"/>
  <c r="J588" i="1"/>
  <c r="H641" i="1" s="1"/>
  <c r="J641" i="1" s="1"/>
  <c r="K592" i="1"/>
  <c r="K593" i="1"/>
  <c r="K594" i="1"/>
  <c r="K595" i="1" s="1"/>
  <c r="G638" i="1" s="1"/>
  <c r="H595" i="1"/>
  <c r="I595" i="1"/>
  <c r="J595" i="1"/>
  <c r="F604" i="1"/>
  <c r="G604" i="1"/>
  <c r="H604" i="1"/>
  <c r="I604" i="1"/>
  <c r="J604" i="1"/>
  <c r="K604" i="1"/>
  <c r="G608" i="1"/>
  <c r="G613" i="1"/>
  <c r="G615" i="1"/>
  <c r="J615" i="1" s="1"/>
  <c r="H617" i="1"/>
  <c r="H618" i="1"/>
  <c r="H619" i="1"/>
  <c r="H620" i="1"/>
  <c r="H621" i="1"/>
  <c r="H622" i="1"/>
  <c r="H623" i="1"/>
  <c r="H625" i="1"/>
  <c r="H626" i="1"/>
  <c r="H627" i="1"/>
  <c r="H628" i="1"/>
  <c r="G633" i="1"/>
  <c r="G634" i="1"/>
  <c r="G639" i="1"/>
  <c r="G640" i="1"/>
  <c r="G641" i="1"/>
  <c r="G642" i="1"/>
  <c r="J642" i="1" s="1"/>
  <c r="H642" i="1"/>
  <c r="G643" i="1"/>
  <c r="J643" i="1" s="1"/>
  <c r="H643" i="1"/>
  <c r="G644" i="1"/>
  <c r="H644" i="1"/>
  <c r="J644" i="1" s="1"/>
  <c r="G645" i="1"/>
  <c r="H645" i="1"/>
  <c r="L196" i="1"/>
  <c r="G161" i="1"/>
  <c r="L248" i="1"/>
  <c r="I184" i="1"/>
  <c r="C6" i="10"/>
  <c r="L393" i="1"/>
  <c r="C131" i="2" s="1"/>
  <c r="C117" i="2"/>
  <c r="C25" i="10"/>
  <c r="C5" i="10"/>
  <c r="J645" i="1"/>
  <c r="E70" i="2"/>
  <c r="G155" i="2"/>
  <c r="C95" i="2"/>
  <c r="D83" i="2"/>
  <c r="D42" i="2"/>
  <c r="F19" i="2"/>
  <c r="D54" i="2"/>
  <c r="H44" i="1"/>
  <c r="H609" i="1"/>
  <c r="G614" i="1"/>
  <c r="J37" i="1"/>
  <c r="G36" i="2" s="1"/>
  <c r="J25" i="1"/>
  <c r="G24" i="2" s="1"/>
  <c r="J9" i="1"/>
  <c r="C112" i="2"/>
  <c r="F44" i="1"/>
  <c r="H607" i="1" s="1"/>
  <c r="J607" i="1" s="1"/>
  <c r="K490" i="1"/>
  <c r="J539" i="1"/>
  <c r="J542" i="1" s="1"/>
  <c r="F122" i="2"/>
  <c r="F136" i="2" s="1"/>
  <c r="F137" i="2" s="1"/>
  <c r="G150" i="2"/>
  <c r="E43" i="2"/>
  <c r="I542" i="1"/>
  <c r="G635" i="1"/>
  <c r="J635" i="1"/>
  <c r="K561" i="1"/>
  <c r="L555" i="1"/>
  <c r="G628" i="1"/>
  <c r="J628" i="1" s="1"/>
  <c r="J426" i="1"/>
  <c r="L329" i="1"/>
  <c r="E123" i="2"/>
  <c r="F161" i="1"/>
  <c r="C39" i="10" s="1"/>
  <c r="G9" i="2"/>
  <c r="J639" i="1"/>
  <c r="H466" i="1"/>
  <c r="H614" i="1" s="1"/>
  <c r="J624" i="1"/>
  <c r="E116" i="2"/>
  <c r="E102" i="2"/>
  <c r="J44" i="1" l="1"/>
  <c r="H611" i="1" s="1"/>
  <c r="G616" i="1"/>
  <c r="J616" i="1" s="1"/>
  <c r="F5" i="13"/>
  <c r="J203" i="1"/>
  <c r="J249" i="1" s="1"/>
  <c r="C111" i="2"/>
  <c r="C16" i="10"/>
  <c r="D7" i="13"/>
  <c r="C7" i="13" s="1"/>
  <c r="C115" i="2"/>
  <c r="C20" i="10"/>
  <c r="D14" i="13"/>
  <c r="C14" i="13" s="1"/>
  <c r="C130" i="2"/>
  <c r="C133" i="2" s="1"/>
  <c r="C136" i="2" s="1"/>
  <c r="L400" i="1"/>
  <c r="C96" i="2"/>
  <c r="C110" i="2"/>
  <c r="C120" i="2" s="1"/>
  <c r="D6" i="13"/>
  <c r="C6" i="13" s="1"/>
  <c r="D43" i="2"/>
  <c r="J629" i="1"/>
  <c r="G185" i="1"/>
  <c r="G618" i="1" s="1"/>
  <c r="J618" i="1" s="1"/>
  <c r="C19" i="10"/>
  <c r="L239" i="1"/>
  <c r="H650" i="1" s="1"/>
  <c r="G153" i="2"/>
  <c r="K540" i="1"/>
  <c r="F185" i="1"/>
  <c r="G617" i="1" s="1"/>
  <c r="J617" i="1" s="1"/>
  <c r="E13" i="13"/>
  <c r="C13" i="13" s="1"/>
  <c r="C8" i="13"/>
  <c r="J640" i="1"/>
  <c r="J612" i="1"/>
  <c r="L221" i="1"/>
  <c r="G650" i="1" s="1"/>
  <c r="K539" i="1"/>
  <c r="K542" i="1" s="1"/>
  <c r="F542" i="1"/>
  <c r="I451" i="1"/>
  <c r="H632" i="1" s="1"/>
  <c r="J632" i="1" s="1"/>
  <c r="D12" i="13"/>
  <c r="C12" i="13" s="1"/>
  <c r="C113" i="2"/>
  <c r="C18" i="10"/>
  <c r="I185" i="1"/>
  <c r="G620" i="1" s="1"/>
  <c r="J620" i="1" s="1"/>
  <c r="E73" i="2"/>
  <c r="J613" i="1"/>
  <c r="G73" i="2"/>
  <c r="C38" i="10"/>
  <c r="E55" i="2"/>
  <c r="L189" i="1"/>
  <c r="J614" i="1"/>
  <c r="F73" i="2"/>
  <c r="F96" i="2" s="1"/>
  <c r="D96" i="2"/>
  <c r="G636" i="1"/>
  <c r="G621" i="1"/>
  <c r="J621" i="1" s="1"/>
  <c r="E104" i="2"/>
  <c r="E107" i="2" s="1"/>
  <c r="E137" i="2" s="1"/>
  <c r="L282" i="1"/>
  <c r="B156" i="2"/>
  <c r="G156" i="2" s="1"/>
  <c r="G37" i="2"/>
  <c r="G42" i="2" s="1"/>
  <c r="G43" i="2" s="1"/>
  <c r="G22" i="2"/>
  <c r="G32" i="2" s="1"/>
  <c r="J10" i="1"/>
  <c r="L350" i="1"/>
  <c r="G651" i="1" s="1"/>
  <c r="J609" i="1"/>
  <c r="C114" i="2"/>
  <c r="J330" i="1"/>
  <c r="J344" i="1" s="1"/>
  <c r="K203" i="1"/>
  <c r="K249" i="1" s="1"/>
  <c r="K263" i="1" s="1"/>
  <c r="C106" i="2"/>
  <c r="L273" i="1"/>
  <c r="E110" i="2" s="1"/>
  <c r="E120" i="2" s="1"/>
  <c r="K330" i="1"/>
  <c r="K344" i="1" s="1"/>
  <c r="G48" i="2"/>
  <c r="G55" i="2" s="1"/>
  <c r="H637" i="1"/>
  <c r="J637" i="1" s="1"/>
  <c r="L514" i="1"/>
  <c r="C116" i="2"/>
  <c r="H25" i="13"/>
  <c r="E122" i="2"/>
  <c r="E136" i="2" s="1"/>
  <c r="D17" i="13"/>
  <c r="C17" i="13" s="1"/>
  <c r="C21" i="10"/>
  <c r="C35" i="10"/>
  <c r="C18" i="12"/>
  <c r="C36" i="12"/>
  <c r="A40" i="12" s="1"/>
  <c r="G652" i="1"/>
  <c r="I652" i="1" s="1"/>
  <c r="L524" i="1"/>
  <c r="C13" i="10"/>
  <c r="H239" i="1"/>
  <c r="H249" i="1" s="1"/>
  <c r="H263" i="1" s="1"/>
  <c r="L190" i="1"/>
  <c r="B18" i="12"/>
  <c r="C11" i="10" l="1"/>
  <c r="C102" i="2"/>
  <c r="J19" i="1"/>
  <c r="G611" i="1" s="1"/>
  <c r="G10" i="2"/>
  <c r="G19" i="2" s="1"/>
  <c r="E96" i="2"/>
  <c r="L535" i="1"/>
  <c r="C15" i="10"/>
  <c r="D5" i="13"/>
  <c r="F33" i="13"/>
  <c r="L330" i="1"/>
  <c r="L344" i="1" s="1"/>
  <c r="G623" i="1" s="1"/>
  <c r="J623" i="1" s="1"/>
  <c r="D31" i="13"/>
  <c r="C31" i="13" s="1"/>
  <c r="G654" i="1"/>
  <c r="J263" i="1"/>
  <c r="H638" i="1"/>
  <c r="J638" i="1" s="1"/>
  <c r="G627" i="1"/>
  <c r="J627" i="1" s="1"/>
  <c r="H636" i="1"/>
  <c r="J636" i="1" s="1"/>
  <c r="C36" i="10"/>
  <c r="C41" i="10"/>
  <c r="G96" i="2"/>
  <c r="E33" i="13"/>
  <c r="D35" i="13" s="1"/>
  <c r="A22" i="12"/>
  <c r="H33" i="13"/>
  <c r="C25" i="13"/>
  <c r="D29" i="13"/>
  <c r="C29" i="13" s="1"/>
  <c r="D119" i="2"/>
  <c r="D120" i="2" s="1"/>
  <c r="D137" i="2" s="1"/>
  <c r="H651" i="1"/>
  <c r="H654" i="1" s="1"/>
  <c r="L354" i="1"/>
  <c r="F651" i="1"/>
  <c r="C10" i="10"/>
  <c r="L203" i="1"/>
  <c r="C101" i="2"/>
  <c r="C107" i="2" s="1"/>
  <c r="C137" i="2" s="1"/>
  <c r="H662" i="1" l="1"/>
  <c r="H657" i="1"/>
  <c r="D40" i="10"/>
  <c r="D39" i="10"/>
  <c r="D37" i="10"/>
  <c r="D33" i="13"/>
  <c r="D36" i="13" s="1"/>
  <c r="C5" i="13"/>
  <c r="D35" i="10"/>
  <c r="D36" i="10"/>
  <c r="D38" i="10"/>
  <c r="C28" i="10"/>
  <c r="J611" i="1"/>
  <c r="L249" i="1"/>
  <c r="L263" i="1" s="1"/>
  <c r="G622" i="1" s="1"/>
  <c r="J622" i="1" s="1"/>
  <c r="F650" i="1"/>
  <c r="I651" i="1"/>
  <c r="G662" i="1"/>
  <c r="G657" i="1"/>
  <c r="C27" i="10"/>
  <c r="G625" i="1"/>
  <c r="J625" i="1" s="1"/>
  <c r="D22" i="10" l="1"/>
  <c r="D23" i="10"/>
  <c r="C30" i="10"/>
  <c r="D25" i="10"/>
  <c r="D17" i="10"/>
  <c r="D12" i="10"/>
  <c r="D26" i="10"/>
  <c r="D24" i="10"/>
  <c r="D21" i="10"/>
  <c r="D18" i="10"/>
  <c r="D20" i="10"/>
  <c r="D16" i="10"/>
  <c r="D13" i="10"/>
  <c r="D19" i="10"/>
  <c r="D27" i="10"/>
  <c r="D15" i="10"/>
  <c r="D41" i="10"/>
  <c r="F654" i="1"/>
  <c r="I650" i="1"/>
  <c r="I654" i="1" s="1"/>
  <c r="H646" i="1"/>
  <c r="D11" i="10"/>
  <c r="D10" i="10"/>
  <c r="D28" i="10" l="1"/>
  <c r="I662" i="1"/>
  <c r="C7" i="10" s="1"/>
  <c r="I657" i="1"/>
  <c r="F662" i="1"/>
  <c r="C4" i="10" s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D277A015-6138-4A31-9B36-6A156A28284D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4D39299A-A1B1-45E1-B7AC-8B00B36591AC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4655BCC6-433A-406D-9DAA-2E4A8A663690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04D4DB89-C4D7-465C-A7B4-338EEFF0A361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E01F92FF-CEC2-4D0F-B5BE-6CBCEEF93EAD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E116212F-DA3F-4CBB-8C8C-C41EC5445F82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AF192A03-7D65-43F2-AD33-7C1B6513EE52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8E43845E-FC20-44AC-AAE8-02FB0F1D5B11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4B0D74E5-5F24-4A17-B1E5-7F20530A94D9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71E93591-21AD-40D1-B96B-CD4FD2DE243B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6EC615E5-5C84-46A2-B551-8C8CC67D6078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73A977E5-B5AD-4F44-B187-55CE0DD18412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<sst xmlns="http://schemas.openxmlformats.org/spreadsheetml/2006/main" count="3860" uniqueCount="897">
  <si>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</si>
  <si>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</si>
  <si>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</si>
  <si>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</si>
  <si>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</si>
  <si>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</si>
  <si>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</si>
  <si>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</si>
  <si>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</si>
  <si>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</si>
  <si>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</si>
  <si>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</si>
  <si>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</si>
  <si>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</si>
  <si>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</si>
  <si>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</si>
  <si>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</si>
  <si>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</si>
  <si>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</si>
  <si>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</si>
  <si>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</si>
  <si>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</si>
  <si>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</si>
  <si>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</si>
  <si>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</si>
  <si>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</si>
  <si>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</si>
  <si>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</si>
  <si>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</si>
  <si>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</si>
  <si>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</si>
  <si>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</si>
  <si>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</si>
  <si>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</si>
  <si>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</si>
  <si>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</si>
  <si>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</si>
  <si>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</si>
  <si>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</si>
  <si>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</si>
  <si>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</si>
  <si>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</si>
  <si>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</si>
  <si>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</si>
  <si>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</si>
  <si>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</si>
  <si>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</si>
  <si>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</si>
  <si>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</si>
  <si>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</si>
  <si>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</si>
  <si>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</si>
  <si>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</si>
  <si>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</si>
  <si>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</si>
  <si>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</si>
  <si>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</si>
  <si>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</si>
  <si>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</si>
  <si>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</si>
  <si>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</si>
  <si>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</si>
  <si>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</si>
  <si>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</si>
  <si>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</si>
  <si>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</si>
  <si>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</si>
  <si>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</si>
  <si>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</si>
  <si>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</si>
  <si>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</si>
  <si>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</si>
  <si>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</si>
  <si>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</si>
  <si>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</si>
  <si>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</si>
  <si>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</si>
  <si>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</si>
  <si>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</si>
  <si>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</si>
  <si>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</si>
  <si>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</si>
  <si>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</si>
  <si>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</si>
  <si>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</si>
  <si>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</si>
  <si>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</si>
  <si>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</si>
  <si>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</si>
  <si>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</si>
  <si>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</si>
  <si>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</si>
  <si>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</si>
  <si>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</si>
  <si>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</si>
  <si>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</si>
  <si>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</si>
  <si>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</si>
  <si>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</si>
  <si>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</si>
  <si>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</si>
  <si>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</si>
  <si>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</si>
  <si>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</si>
  <si>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</si>
  <si>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</si>
  <si>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</si>
  <si>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</si>
  <si>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</si>
  <si>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</si>
  <si>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</si>
  <si>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</si>
  <si>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</si>
  <si>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</si>
  <si>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</si>
  <si>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</si>
  <si>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</si>
  <si>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</si>
  <si>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</si>
  <si>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</si>
  <si>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</si>
  <si>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</si>
  <si>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</si>
  <si>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</si>
  <si>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</si>
  <si>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</si>
  <si>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</si>
  <si>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</si>
  <si>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</si>
  <si>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</si>
  <si>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</si>
  <si>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</si>
  <si>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</si>
  <si>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</si>
  <si>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</si>
  <si>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</si>
  <si>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</si>
  <si>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</si>
  <si>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</si>
  <si>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</si>
  <si>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</si>
  <si>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</si>
  <si>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</si>
  <si>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</si>
  <si>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</si>
  <si>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</si>
  <si>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</si>
  <si>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</si>
  <si>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</si>
  <si>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</si>
  <si>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</si>
  <si>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</si>
  <si>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</si>
  <si>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</si>
  <si>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</si>
  <si>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</si>
  <si>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</si>
  <si>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</si>
  <si>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</si>
  <si>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</si>
  <si>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</si>
  <si>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</si>
  <si>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</si>
  <si>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</si>
  <si>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</si>
  <si>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</si>
  <si>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</si>
  <si>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</si>
  <si>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</si>
  <si>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</si>
  <si>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</si>
  <si>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</si>
  <si>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</si>
  <si>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</si>
  <si>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</si>
  <si>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</si>
  <si>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</si>
  <si>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</si>
  <si>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</si>
  <si>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</si>
  <si>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</si>
  <si>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</si>
  <si>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</si>
  <si>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</si>
  <si>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</si>
  <si>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</si>
  <si>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</si>
  <si>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</si>
  <si>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</si>
  <si>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</si>
  <si>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</si>
  <si>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</si>
  <si>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</si>
  <si>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</si>
  <si>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</si>
  <si>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</si>
  <si>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</si>
  <si>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</si>
  <si>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</si>
  <si>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</si>
  <si>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</si>
  <si>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</si>
  <si>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</si>
  <si>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</si>
  <si>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</si>
  <si>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</si>
  <si>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</si>
  <si>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</si>
  <si>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</si>
  <si>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</si>
  <si>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</si>
  <si>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</si>
  <si>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</si>
  <si>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</si>
  <si>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</si>
  <si>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</si>
  <si>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</si>
  <si>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</si>
  <si>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</si>
  <si>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</si>
  <si>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</si>
  <si>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</si>
  <si>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</si>
  <si>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</si>
  <si>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</si>
  <si>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</si>
  <si>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</si>
  <si>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</si>
  <si>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</si>
  <si>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</si>
  <si>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</si>
  <si>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</si>
  <si>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</si>
  <si>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</si>
  <si>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</si>
  <si>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</si>
  <si>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</si>
  <si>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</si>
  <si>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</si>
  <si>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</si>
  <si>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</si>
  <si>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</si>
  <si>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</si>
  <si>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</si>
  <si>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</si>
  <si>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</si>
  <si>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</si>
  <si>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</si>
  <si>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</si>
  <si>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</si>
  <si>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</si>
  <si>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</si>
  <si>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</si>
  <si>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</si>
  <si>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</si>
  <si>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</si>
  <si>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</si>
  <si>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</si>
  <si>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</si>
  <si>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</si>
  <si>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</si>
  <si>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</si>
  <si>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</si>
  <si>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</si>
  <si>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</si>
  <si>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</si>
  <si>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</si>
  <si>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</si>
  <si>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</si>
  <si>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</si>
  <si>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</si>
  <si>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</si>
  <si>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</si>
  <si>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</si>
  <si>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</si>
  <si>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</si>
  <si>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</si>
  <si>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</si>
  <si>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</si>
  <si>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</si>
  <si>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</si>
  <si>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</si>
  <si>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</si>
  <si>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</si>
  <si>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</si>
  <si>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</si>
  <si>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</si>
  <si>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</si>
  <si>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</si>
  <si>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</si>
  <si>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</si>
  <si>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</si>
  <si>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</si>
  <si>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</si>
  <si>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</si>
  <si>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</si>
  <si>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</si>
  <si>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</si>
  <si>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</si>
  <si>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</si>
  <si>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</si>
  <si>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</si>
  <si>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</si>
  <si>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</si>
  <si>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</si>
  <si>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</si>
  <si>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</si>
  <si>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</si>
  <si>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</si>
  <si>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</si>
  <si>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</si>
  <si>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</si>
  <si>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</si>
  <si>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</si>
  <si>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</si>
  <si>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</si>
  <si>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</si>
  <si>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</si>
  <si>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</si>
  <si>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</si>
  <si>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</si>
  <si>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</si>
  <si>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</si>
  <si>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</si>
  <si>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</si>
  <si>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</si>
  <si>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</si>
  <si>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</si>
  <si>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</si>
  <si>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</si>
  <si>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</si>
  <si>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</si>
  <si>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</si>
  <si>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</si>
  <si>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</si>
  <si>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</si>
  <si>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</si>
  <si>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</si>
  <si>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</si>
  <si>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</si>
  <si>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</si>
  <si>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</si>
  <si>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</si>
  <si>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</si>
  <si>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</si>
  <si>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</si>
  <si>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</si>
  <si>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</si>
  <si>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</si>
  <si>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</si>
  <si>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</si>
  <si>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</si>
  <si>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</si>
  <si>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</si>
  <si>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</si>
  <si>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</si>
  <si>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</si>
  <si>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</si>
  <si>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</si>
  <si>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</si>
  <si>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</si>
  <si>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</si>
  <si>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</si>
  <si>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</si>
  <si>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</si>
  <si>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</si>
  <si>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</si>
  <si>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</si>
  <si>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</si>
  <si>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</si>
  <si>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</si>
  <si>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</si>
  <si>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</si>
  <si>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</si>
  <si>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</si>
  <si>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</si>
  <si>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</si>
  <si>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</si>
  <si>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</si>
  <si>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</si>
  <si>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</si>
  <si>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</si>
  <si>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</si>
  <si>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</si>
  <si>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</si>
  <si>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</si>
  <si>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</si>
  <si>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</si>
  <si>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</si>
  <si>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</si>
  <si>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</si>
  <si>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</si>
  <si>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</si>
  <si>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</si>
  <si>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</si>
  <si>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</si>
  <si>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</si>
  <si>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</si>
  <si>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</si>
  <si>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</si>
  <si>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</si>
  <si>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</si>
  <si>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</si>
  <si>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</si>
  <si>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</si>
  <si>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</si>
  <si>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</si>
  <si>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</si>
  <si>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</si>
  <si>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</si>
  <si>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</si>
  <si>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</si>
  <si>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</si>
  <si>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</si>
  <si>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</si>
  <si>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</si>
  <si>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</si>
  <si>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</si>
  <si>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</si>
  <si>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</si>
  <si>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</si>
  <si>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</si>
  <si>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</si>
  <si>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</si>
  <si>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</si>
  <si>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</si>
  <si>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</si>
  <si>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</si>
  <si>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</si>
  <si>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</si>
  <si>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</si>
  <si>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</si>
  <si>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</si>
  <si>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</si>
  <si>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</si>
  <si>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</si>
  <si>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</si>
  <si>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</si>
  <si>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</si>
  <si>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</si>
  <si>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</si>
  <si>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</si>
  <si>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</si>
  <si>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</si>
  <si>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</si>
  <si>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</si>
  <si>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</si>
  <si>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</si>
  <si>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</si>
  <si>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</si>
  <si>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</si>
  <si>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</si>
  <si>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</si>
  <si>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</si>
  <si>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</si>
  <si>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</si>
  <si>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</si>
  <si>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</si>
  <si>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</si>
  <si>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</si>
  <si>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</si>
  <si>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</si>
  <si>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</si>
  <si>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</si>
  <si>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</si>
  <si>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</si>
  <si>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</si>
  <si>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</si>
  <si>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</si>
  <si>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</si>
  <si>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</si>
  <si>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</si>
  <si>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</si>
  <si>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</si>
  <si>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</si>
  <si>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</si>
  <si>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</si>
  <si>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</si>
  <si>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</si>
  <si>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</si>
  <si>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</si>
  <si>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</si>
  <si>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</si>
  <si>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</si>
  <si>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</si>
  <si>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</si>
  <si>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</si>
  <si>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</si>
  <si>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</si>
  <si>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</si>
  <si>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</si>
  <si>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</si>
  <si>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</si>
  <si>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</si>
  <si>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</si>
  <si>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</si>
  <si>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</si>
  <si>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</si>
  <si>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</si>
  <si>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</si>
  <si>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</si>
  <si>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</si>
  <si>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</si>
  <si>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</si>
  <si>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</si>
  <si>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</si>
  <si>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</si>
  <si>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</si>
  <si>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</si>
  <si>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</si>
  <si>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</si>
  <si>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</si>
  <si>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</si>
  <si>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</si>
  <si>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</si>
  <si>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</si>
  <si>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</si>
  <si>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</si>
  <si>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</si>
  <si>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</si>
  <si>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</si>
  <si>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</si>
  <si>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</si>
  <si>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</si>
  <si>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</si>
  <si>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</si>
  <si>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</si>
  <si>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</si>
  <si>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</si>
  <si>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</si>
  <si>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</si>
  <si>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</si>
  <si>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</si>
  <si>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</si>
  <si>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</si>
  <si>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</si>
  <si>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</si>
  <si>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</si>
  <si>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</si>
  <si>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</si>
  <si>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</si>
  <si>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</si>
  <si>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</si>
  <si>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</si>
  <si>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</si>
  <si>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</si>
  <si>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</si>
  <si>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</si>
  <si>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</si>
  <si>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</si>
  <si>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</si>
  <si>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</si>
  <si>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</si>
  <si>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</si>
  <si>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</si>
  <si>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</si>
  <si>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</si>
  <si>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</si>
  <si>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</si>
  <si>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</si>
  <si>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</si>
  <si>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</si>
  <si>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</si>
  <si>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</si>
  <si>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</si>
  <si>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</si>
  <si>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</si>
  <si>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</si>
  <si>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</si>
  <si>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</si>
  <si>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</si>
  <si>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</si>
  <si>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</si>
  <si>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</si>
  <si>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</si>
  <si>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</si>
  <si>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</si>
  <si>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</si>
  <si>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</si>
  <si>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</si>
  <si>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</si>
  <si>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</si>
  <si>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</si>
  <si>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</si>
  <si>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</si>
  <si>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</si>
  <si>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</si>
  <si>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</si>
  <si>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</si>
  <si>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</si>
  <si>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</si>
  <si>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</si>
  <si>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</si>
  <si>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</si>
  <si>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</si>
  <si>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</si>
  <si>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</si>
  <si>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</si>
  <si>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</si>
  <si>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</si>
  <si>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</si>
  <si>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</si>
  <si>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</si>
  <si>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</si>
  <si>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</si>
  <si>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</si>
  <si>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</si>
  <si>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</si>
  <si>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</si>
  <si>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</si>
  <si>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</si>
  <si>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</si>
  <si>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</si>
  <si>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</si>
  <si>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</si>
  <si>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</si>
  <si>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</si>
  <si>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</si>
  <si>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</si>
  <si>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</si>
  <si>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</si>
  <si>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</si>
  <si>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</si>
  <si>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</si>
  <si>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</si>
  <si>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</si>
  <si>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</si>
  <si>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</si>
  <si>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</si>
  <si>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</si>
  <si>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</si>
  <si>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</si>
  <si>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</si>
  <si>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</si>
  <si>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</si>
  <si>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</si>
  <si>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</si>
  <si>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</si>
  <si>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</si>
  <si>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</si>
  <si>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</si>
  <si>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</si>
  <si>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</si>
  <si>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</si>
  <si>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</si>
  <si>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</si>
  <si>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</si>
  <si>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</si>
  <si>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</si>
  <si>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</si>
  <si>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</si>
  <si>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</si>
  <si>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</si>
  <si>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</si>
  <si>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</si>
  <si>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</si>
  <si>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</si>
  <si>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</si>
  <si>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</si>
  <si>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</si>
  <si>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</si>
  <si>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</si>
  <si>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</si>
  <si>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</si>
  <si>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</si>
  <si>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</si>
  <si>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</si>
  <si>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</si>
  <si>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</si>
  <si>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</si>
  <si>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</si>
  <si>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</si>
  <si>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</si>
  <si>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</si>
  <si>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</si>
  <si>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</si>
  <si>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</si>
  <si>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</si>
  <si>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</si>
  <si>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</si>
  <si>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</si>
  <si>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</si>
  <si>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</si>
  <si>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</si>
  <si>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</si>
  <si>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</si>
  <si>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</si>
  <si>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</si>
  <si>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</si>
  <si>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</si>
  <si>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</si>
  <si>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</si>
  <si>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</si>
  <si>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</si>
  <si>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</si>
  <si>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</si>
  <si>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</si>
  <si>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</si>
  <si>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</si>
  <si>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</si>
  <si>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</si>
  <si>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</si>
  <si>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</si>
  <si>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</si>
  <si>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</si>
  <si>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</si>
  <si>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</si>
  <si>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</si>
  <si>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</si>
  <si>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</si>
  <si>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</si>
  <si>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</si>
  <si>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</si>
  <si>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</si>
  <si>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</si>
  <si>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</si>
  <si>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</si>
  <si>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</si>
  <si>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</si>
  <si>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</si>
  <si>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</si>
  <si>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</si>
  <si>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</si>
  <si>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</si>
  <si>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</si>
  <si>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</si>
  <si>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</si>
  <si>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</si>
  <si>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</si>
  <si>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</si>
  <si>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</si>
  <si>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</si>
  <si>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</si>
  <si>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</si>
  <si>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</si>
  <si>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</si>
  <si>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</si>
  <si>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</si>
  <si>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</si>
  <si>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</si>
  <si>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</si>
  <si>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</si>
  <si>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</si>
  <si>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</si>
  <si>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</si>
  <si>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</si>
  <si>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</si>
  <si>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</si>
  <si>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</si>
  <si>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</si>
  <si>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</si>
  <si>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</si>
  <si>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</si>
  <si>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</si>
  <si>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</si>
  <si>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</si>
  <si>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</si>
  <si>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</si>
  <si>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</si>
  <si>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</si>
  <si>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</si>
  <si>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</si>
  <si>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</si>
  <si>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</si>
  <si>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</si>
  <si>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</si>
  <si>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</si>
  <si>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</si>
  <si>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</si>
  <si>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</si>
  <si>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</si>
  <si>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</si>
  <si>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</si>
  <si>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</si>
  <si>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</si>
  <si>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</si>
  <si>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</si>
  <si>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</si>
  <si>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</si>
  <si>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</si>
  <si>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</si>
  <si>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</si>
  <si>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</si>
  <si>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</si>
  <si>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</si>
  <si>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</si>
  <si>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</si>
  <si>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</si>
  <si>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</si>
  <si>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</si>
  <si>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</si>
  <si>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</si>
  <si>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</si>
  <si>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</si>
  <si>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</si>
  <si>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</si>
  <si>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</si>
  <si>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</si>
  <si>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</si>
  <si>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</si>
  <si>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</si>
  <si>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</si>
  <si>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</si>
  <si>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</si>
  <si>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</si>
  <si>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</si>
  <si>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</si>
  <si>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</si>
  <si>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</si>
  <si>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</si>
  <si>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</si>
  <si>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</si>
  <si>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</si>
  <si>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</si>
  <si>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</si>
  <si>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</si>
  <si>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</si>
  <si>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</si>
  <si>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</si>
  <si>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</si>
  <si>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</si>
  <si>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</si>
  <si>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</si>
  <si>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</si>
  <si>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</si>
  <si>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</si>
  <si>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</si>
  <si>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</si>
  <si>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</si>
  <si>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</si>
  <si>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</si>
  <si>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</si>
  <si>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</si>
  <si>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</si>
  <si>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</si>
  <si>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</si>
  <si>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</si>
  <si>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</si>
  <si>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</si>
  <si>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</si>
  <si>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</si>
  <si>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</si>
  <si>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</si>
  <si>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</si>
  <si>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</si>
  <si>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</si>
  <si>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</si>
  <si>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</si>
  <si>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</si>
  <si>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</si>
  <si>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</si>
  <si>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</si>
  <si>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</si>
  <si>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</si>
  <si>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</si>
  <si>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</si>
  <si>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</si>
  <si>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</si>
  <si>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</si>
  <si>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</si>
  <si>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</si>
  <si>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</si>
  <si>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</si>
  <si>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</si>
  <si>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</si>
  <si>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</si>
  <si>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</si>
  <si>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</si>
  <si>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</si>
  <si>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</si>
  <si>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</si>
  <si>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</si>
  <si>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</si>
  <si>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</si>
  <si>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</si>
  <si>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</si>
  <si>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</si>
  <si>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</si>
  <si>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</si>
  <si>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</si>
  <si>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</si>
  <si>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</si>
  <si>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</si>
  <si>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</si>
  <si>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</si>
  <si>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</si>
  <si>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</si>
  <si>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</si>
  <si>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</si>
  <si>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</si>
  <si>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</si>
  <si>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</si>
  <si>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</si>
  <si>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</si>
  <si>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TAMWORTH</t>
  </si>
  <si>
    <t>Deposit for State Building Aid needs to be located</t>
  </si>
  <si>
    <t>flagged for FYE 2011 audit.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</si>
</sst>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2">
    <xf numFmtId="0" fontId="0" fillId="0" borderId="0"/>
    <xf numFmtId="0" fontId="37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9" fillId="0" borderId="0" xfId="0" applyNumberFormat="1" applyFont="1" applyAlignment="1" applyProtection="1">
      <alignment horizontal="center"/>
    </xf>
    <xf numFmtId="0" fontId="28" fillId="0" borderId="0" xfId="0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</cellXfs>
  <cellStyles count="2">
    <cellStyle name="Normal" xfId="0" builtinId="0"/>
    <cellStyle name="Normal 2" xfId="1" xr:uid="{9D382590-0153-4703-A368-97FA514795DA}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91B4D-42CF-4A14-AD0B-D4E0F71BDC7A}">
  <sheetPr transitionEvaluation="1" transitionEntry="1" codeName="Sheet1">
    <tabColor indexed="56"/>
  </sheetPr>
  <dimension ref="A1:AQ666"/>
  <sheetViews>
    <sheetView tabSelected="1" zoomScale="75" zoomScaleNormal="130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525</v>
      </c>
      <c r="C2" s="21">
        <v>525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120643.2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175155.86</v>
      </c>
      <c r="G10" s="18"/>
      <c r="H10" s="18"/>
      <c r="I10" s="18"/>
      <c r="J10" s="67">
        <f>SUM(I432)</f>
        <v>30386.28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19230.59</v>
      </c>
      <c r="G12" s="18">
        <v>19027.32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95348.04</v>
      </c>
      <c r="G13" s="18"/>
      <c r="H13" s="18">
        <v>45563.51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>
        <v>132103.69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84095.46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494473.15</v>
      </c>
      <c r="G19" s="41">
        <f>SUM(G9:G18)</f>
        <v>19027.32</v>
      </c>
      <c r="H19" s="41">
        <f>SUM(H9:H18)</f>
        <v>177667.20000000001</v>
      </c>
      <c r="I19" s="41">
        <f>SUM(I9:I18)</f>
        <v>0</v>
      </c>
      <c r="J19" s="41">
        <f>SUM(J9:J18)</f>
        <v>30386.28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38257.910000000003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f>76590+21195.46</f>
        <v>97785.459999999992</v>
      </c>
      <c r="G24" s="18"/>
      <c r="H24" s="18">
        <v>2523.04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1137.5+150494.43</f>
        <v>151631.93</v>
      </c>
      <c r="G25" s="18">
        <v>400</v>
      </c>
      <c r="H25" s="18">
        <v>2855.67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8">
        <v>18627.32</v>
      </c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9806.2800000000007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82576.2</v>
      </c>
      <c r="G30" s="18"/>
      <c r="H30" s="18">
        <f>2464.37+149.6+1562.97+5557.38</f>
        <v>9734.32</v>
      </c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14728.18</v>
      </c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356528.05</v>
      </c>
      <c r="G33" s="41">
        <f>SUM(G23:G32)</f>
        <v>19027.32</v>
      </c>
      <c r="H33" s="41">
        <f>SUM(H23:H32)</f>
        <v>53370.94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82293.53</v>
      </c>
      <c r="G37" s="18"/>
      <c r="H37" s="18">
        <v>17.850000000000001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30386.28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>
        <v>124278.41</v>
      </c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55651.57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137945.1</v>
      </c>
      <c r="G43" s="41">
        <f>SUM(G35:G42)</f>
        <v>0</v>
      </c>
      <c r="H43" s="41">
        <f>SUM(H35:H42)</f>
        <v>124296.26000000001</v>
      </c>
      <c r="I43" s="41">
        <f>SUM(I35:I42)</f>
        <v>0</v>
      </c>
      <c r="J43" s="41">
        <f>SUM(J35:J42)</f>
        <v>30386.28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494473.15</v>
      </c>
      <c r="G44" s="41">
        <f>G43+G33</f>
        <v>19027.32</v>
      </c>
      <c r="H44" s="41">
        <f>H43+H33</f>
        <v>177667.20000000001</v>
      </c>
      <c r="I44" s="41">
        <f>I43+I33</f>
        <v>0</v>
      </c>
      <c r="J44" s="41">
        <f>J43+J33</f>
        <v>30386.28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4008701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4008701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26390.52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26390.52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413.8</v>
      </c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26422.62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500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12518.9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12932.699999999999</v>
      </c>
      <c r="G103" s="41">
        <f>SUM(G88:G102)</f>
        <v>26422.62</v>
      </c>
      <c r="H103" s="41">
        <f>SUM(H88:H102)</f>
        <v>500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4048024.22</v>
      </c>
      <c r="G104" s="41">
        <f>G52+G103</f>
        <v>26422.62</v>
      </c>
      <c r="H104" s="41">
        <f>H52+H71+H86+H103</f>
        <v>500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622134.36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735703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22564.639999999999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1380401.9999999998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49083.360000000001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0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42647.68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49083.360000000001</v>
      </c>
      <c r="G128" s="41">
        <f>SUM(G115:G127)</f>
        <v>42647.68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>
        <v>57082.5</v>
      </c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1486567.8599999999</v>
      </c>
      <c r="G132" s="41">
        <f>G113+SUM(G128:G129)</f>
        <v>42647.68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23071.27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20480.72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10279.74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31961.81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31961.81</v>
      </c>
      <c r="G154" s="41">
        <f>SUM(G142:G153)</f>
        <v>10279.74</v>
      </c>
      <c r="H154" s="41">
        <f>SUM(H142:H153)</f>
        <v>43551.990000000005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161.77000000000001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32123.58</v>
      </c>
      <c r="G161" s="41">
        <f>G139+G154+SUM(G155:G160)</f>
        <v>10279.74</v>
      </c>
      <c r="H161" s="41">
        <f>H139+H154+SUM(H155:H160)</f>
        <v>43551.990000000005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29857.78</v>
      </c>
      <c r="H171" s="18"/>
      <c r="I171" s="18"/>
      <c r="J171" s="18">
        <v>20000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29857.78</v>
      </c>
      <c r="H175" s="41">
        <f>SUM(H171:H174)</f>
        <v>0</v>
      </c>
      <c r="I175" s="41">
        <f>SUM(I171:I174)</f>
        <v>0</v>
      </c>
      <c r="J175" s="41">
        <f>SUM(J171:J174)</f>
        <v>20000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115000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115000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115000</v>
      </c>
      <c r="G184" s="41">
        <f>G175+SUM(G180:G183)</f>
        <v>29857.78</v>
      </c>
      <c r="H184" s="41">
        <f>+H175+SUM(H180:H183)</f>
        <v>0</v>
      </c>
      <c r="I184" s="41">
        <f>I169+I175+SUM(I180:I183)</f>
        <v>0</v>
      </c>
      <c r="J184" s="41">
        <f>J175</f>
        <v>20000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5681715.6600000001</v>
      </c>
      <c r="G185" s="47">
        <f>G104+G132+G161+G184</f>
        <v>109207.82</v>
      </c>
      <c r="H185" s="47">
        <f>H104+H132+H161+H184</f>
        <v>44051.990000000005</v>
      </c>
      <c r="I185" s="47">
        <f>I104+I132+I161+I184</f>
        <v>0</v>
      </c>
      <c r="J185" s="47">
        <f>J104+J132+J184</f>
        <v>20000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902169.49+269479.2</f>
        <v>1171648.69</v>
      </c>
      <c r="G189" s="18">
        <f>374237.63+111785.27</f>
        <v>486022.9</v>
      </c>
      <c r="H189" s="18">
        <f>3465+52480.82+1035</f>
        <v>56980.82</v>
      </c>
      <c r="I189" s="18">
        <f>25491.53+7614.35</f>
        <v>33105.879999999997</v>
      </c>
      <c r="J189" s="18">
        <f>18963.41+5664.39</f>
        <v>24627.8</v>
      </c>
      <c r="K189" s="18"/>
      <c r="L189" s="19">
        <f>SUM(F189:K189)</f>
        <v>1772386.0899999999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266389.83+40970.93+91809.06</f>
        <v>399169.82</v>
      </c>
      <c r="G190" s="18">
        <f>186027.36+12087.88+59177.28</f>
        <v>257292.52</v>
      </c>
      <c r="H190" s="18">
        <f>52944.57+46699.06+174.68+33665.43</f>
        <v>133483.74</v>
      </c>
      <c r="I190" s="18">
        <f>642.4+244.06</f>
        <v>886.46</v>
      </c>
      <c r="J190" s="18"/>
      <c r="K190" s="18"/>
      <c r="L190" s="19">
        <f>SUM(F190:K190)</f>
        <v>790832.53999999992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9925.49+2964.76</f>
        <v>12890.25</v>
      </c>
      <c r="G192" s="18">
        <f>378.93+113.19</f>
        <v>492.12</v>
      </c>
      <c r="H192" s="18">
        <f>1674.79+500.26</f>
        <v>2175.0500000000002</v>
      </c>
      <c r="I192" s="18">
        <f>1998.8+597.05</f>
        <v>2595.85</v>
      </c>
      <c r="J192" s="18"/>
      <c r="K192" s="18"/>
      <c r="L192" s="19">
        <f>SUM(F192:K192)</f>
        <v>18153.27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29249.22+19144.7+46729.76+45483.13+41999.44</f>
        <v>182606.25</v>
      </c>
      <c r="G194" s="18">
        <f>19173.59+2280.72+21927.88+21861.8+19488.46</f>
        <v>84732.450000000012</v>
      </c>
      <c r="H194" s="18">
        <f>387.36+3290.21+1098.49</f>
        <v>4776.0600000000004</v>
      </c>
      <c r="I194" s="18">
        <f>351.67+451.24+249.63+314.52+408.35</f>
        <v>1775.4099999999999</v>
      </c>
      <c r="J194" s="18">
        <f>155.27+46.38</f>
        <v>201.65</v>
      </c>
      <c r="K194" s="18"/>
      <c r="L194" s="19">
        <f t="shared" ref="L194:L200" si="0">SUM(F194:K194)</f>
        <v>274091.82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54231.92+16199.15</f>
        <v>70431.069999999992</v>
      </c>
      <c r="G195" s="18">
        <f>7981.19+13162.5+6315.64</f>
        <v>27459.329999999998</v>
      </c>
      <c r="H195" s="18">
        <f>13927.88+1875.34+4720.45</f>
        <v>20523.669999999998</v>
      </c>
      <c r="I195" s="18">
        <f>6519.62+1848.7+2499.63</f>
        <v>10867.95</v>
      </c>
      <c r="J195" s="18"/>
      <c r="K195" s="18"/>
      <c r="L195" s="19">
        <f t="shared" si="0"/>
        <v>129282.01999999999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>
        <f>99.11+1558.25+29.6</f>
        <v>1686.9599999999998</v>
      </c>
      <c r="H196" s="18">
        <f>3630.81+433.13+12388.11+11242.08+3654.56+100135.25+39988.52</f>
        <v>171472.46</v>
      </c>
      <c r="I196" s="18">
        <f>149.14+44.55</f>
        <v>193.69</v>
      </c>
      <c r="J196" s="18"/>
      <c r="K196" s="18">
        <f>2476.62+77.96+763.06</f>
        <v>3317.64</v>
      </c>
      <c r="L196" s="19">
        <f t="shared" si="0"/>
        <v>176670.75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87283.41+26071.67</f>
        <v>113355.08</v>
      </c>
      <c r="G197" s="18">
        <f>43186.38+12899.83</f>
        <v>56086.21</v>
      </c>
      <c r="H197" s="18">
        <f>5299.91+1583.09</f>
        <v>6883</v>
      </c>
      <c r="I197" s="18">
        <f>1635.27+488.46</f>
        <v>2123.73</v>
      </c>
      <c r="J197" s="18"/>
      <c r="K197" s="18">
        <f>1024.96+306.16</f>
        <v>1331.1200000000001</v>
      </c>
      <c r="L197" s="19">
        <f t="shared" si="0"/>
        <v>179779.14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>
        <f>630.63+188.37</f>
        <v>819</v>
      </c>
      <c r="I198" s="18"/>
      <c r="J198" s="18"/>
      <c r="K198" s="18"/>
      <c r="L198" s="19">
        <f t="shared" si="0"/>
        <v>819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74003.92+22105.07</f>
        <v>96108.989999999991</v>
      </c>
      <c r="G199" s="18">
        <f>39666.49+11848.43</f>
        <v>51514.92</v>
      </c>
      <c r="H199" s="18">
        <f>10378.19+12107.2+13928.55+10876.88</f>
        <v>47290.82</v>
      </c>
      <c r="I199" s="18">
        <f>92146.39+27524.24</f>
        <v>119670.63</v>
      </c>
      <c r="J199" s="18">
        <f>19268.43+5755.51</f>
        <v>25023.940000000002</v>
      </c>
      <c r="K199" s="18"/>
      <c r="L199" s="19">
        <f t="shared" si="0"/>
        <v>339609.3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116544.68</v>
      </c>
      <c r="I200" s="18"/>
      <c r="J200" s="18"/>
      <c r="K200" s="18"/>
      <c r="L200" s="19">
        <f t="shared" si="0"/>
        <v>116544.68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2046210.1500000001</v>
      </c>
      <c r="G203" s="41">
        <f t="shared" si="1"/>
        <v>965287.40999999992</v>
      </c>
      <c r="H203" s="41">
        <f t="shared" si="1"/>
        <v>560949.29999999993</v>
      </c>
      <c r="I203" s="41">
        <f t="shared" si="1"/>
        <v>171219.6</v>
      </c>
      <c r="J203" s="41">
        <f t="shared" si="1"/>
        <v>49853.39</v>
      </c>
      <c r="K203" s="41">
        <f t="shared" si="1"/>
        <v>4648.76</v>
      </c>
      <c r="L203" s="41">
        <f t="shared" si="1"/>
        <v>3798168.61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f>1097136+122175</f>
        <v>1219311</v>
      </c>
      <c r="I225" s="18"/>
      <c r="J225" s="18"/>
      <c r="K225" s="18"/>
      <c r="L225" s="19">
        <f>SUM(F225:K225)</f>
        <v>1219311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321581.99</v>
      </c>
      <c r="I226" s="18"/>
      <c r="J226" s="18"/>
      <c r="K226" s="18"/>
      <c r="L226" s="19">
        <f>SUM(F226:K226)</f>
        <v>321581.99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>
        <v>81497.56</v>
      </c>
      <c r="I232" s="18"/>
      <c r="J232" s="18"/>
      <c r="K232" s="18"/>
      <c r="L232" s="19">
        <f t="shared" si="4"/>
        <v>81497.56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72897.259999999995</v>
      </c>
      <c r="I236" s="18"/>
      <c r="J236" s="18"/>
      <c r="K236" s="18"/>
      <c r="L236" s="19">
        <f t="shared" si="4"/>
        <v>72897.259999999995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1695287.81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1695287.81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2046210.1500000001</v>
      </c>
      <c r="G249" s="41">
        <f t="shared" si="8"/>
        <v>965287.40999999992</v>
      </c>
      <c r="H249" s="41">
        <f t="shared" si="8"/>
        <v>2256237.11</v>
      </c>
      <c r="I249" s="41">
        <f t="shared" si="8"/>
        <v>171219.6</v>
      </c>
      <c r="J249" s="41">
        <f t="shared" si="8"/>
        <v>49853.39</v>
      </c>
      <c r="K249" s="41">
        <f t="shared" si="8"/>
        <v>4648.76</v>
      </c>
      <c r="L249" s="41">
        <f t="shared" si="8"/>
        <v>5493456.4199999999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164102.56</v>
      </c>
      <c r="L252" s="19">
        <f>SUM(F252:K252)</f>
        <v>164102.56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97861.17</v>
      </c>
      <c r="L253" s="19">
        <f>SUM(F253:K253)</f>
        <v>97861.17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29857.78</v>
      </c>
      <c r="L255" s="19">
        <f>SUM(F255:K255)</f>
        <v>29857.78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20000</v>
      </c>
      <c r="L258" s="19">
        <f t="shared" si="9"/>
        <v>20000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311821.51</v>
      </c>
      <c r="L262" s="41">
        <f t="shared" si="9"/>
        <v>311821.51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2046210.1500000001</v>
      </c>
      <c r="G263" s="42">
        <f t="shared" si="11"/>
        <v>965287.40999999992</v>
      </c>
      <c r="H263" s="42">
        <f t="shared" si="11"/>
        <v>2256237.11</v>
      </c>
      <c r="I263" s="42">
        <f t="shared" si="11"/>
        <v>171219.6</v>
      </c>
      <c r="J263" s="42">
        <f t="shared" si="11"/>
        <v>49853.39</v>
      </c>
      <c r="K263" s="42">
        <f t="shared" si="11"/>
        <v>316470.27</v>
      </c>
      <c r="L263" s="42">
        <f t="shared" si="11"/>
        <v>5805277.9299999997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61268.73+18301.05</f>
        <v>79569.78</v>
      </c>
      <c r="G268" s="18">
        <f>20290.79+6060.89</f>
        <v>26351.68</v>
      </c>
      <c r="H268" s="18"/>
      <c r="I268" s="18">
        <f>-1855.98+-554.39</f>
        <v>-2410.37</v>
      </c>
      <c r="J268" s="18"/>
      <c r="K268" s="18"/>
      <c r="L268" s="19">
        <f>SUM(F268:K268)</f>
        <v>103511.09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>
        <f>-13.37+-4</f>
        <v>-17.369999999999997</v>
      </c>
      <c r="H269" s="18"/>
      <c r="I269" s="18">
        <f>3264.69+1018.29+1279.33</f>
        <v>5562.3099999999995</v>
      </c>
      <c r="J269" s="18"/>
      <c r="K269" s="18"/>
      <c r="L269" s="19">
        <f>SUM(F269:K269)</f>
        <v>5544.94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f>2487.09+742.9</f>
        <v>3229.9900000000002</v>
      </c>
      <c r="G271" s="18">
        <f>1126.25+336.41</f>
        <v>1462.66</v>
      </c>
      <c r="H271" s="18">
        <f>774.62+231.4</f>
        <v>1006.02</v>
      </c>
      <c r="I271" s="18">
        <f>374.81+111.95</f>
        <v>486.76</v>
      </c>
      <c r="J271" s="18"/>
      <c r="K271" s="18"/>
      <c r="L271" s="19">
        <f>SUM(F271:K271)</f>
        <v>6185.43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f>154+46</f>
        <v>200</v>
      </c>
      <c r="I273" s="18">
        <f>385.94+115.28</f>
        <v>501.22</v>
      </c>
      <c r="J273" s="18"/>
      <c r="K273" s="18"/>
      <c r="L273" s="19">
        <f t="shared" ref="L273:L279" si="12">SUM(F273:K273)</f>
        <v>701.22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f>173.25+51.75</f>
        <v>225</v>
      </c>
      <c r="I274" s="18">
        <v>28.69</v>
      </c>
      <c r="J274" s="18"/>
      <c r="K274" s="18"/>
      <c r="L274" s="19">
        <f t="shared" si="12"/>
        <v>253.69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>
        <v>96.05</v>
      </c>
      <c r="J275" s="18"/>
      <c r="K275" s="18"/>
      <c r="L275" s="19">
        <f t="shared" si="12"/>
        <v>96.05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>
        <f>3010.7+899.3</f>
        <v>3910</v>
      </c>
      <c r="I276" s="18"/>
      <c r="J276" s="18"/>
      <c r="K276" s="18"/>
      <c r="L276" s="19">
        <f t="shared" si="12"/>
        <v>3910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f>1966.56+587.41</f>
        <v>2553.9699999999998</v>
      </c>
      <c r="L277" s="19">
        <f t="shared" si="12"/>
        <v>2553.9699999999998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>
        <f>1345.21+401.81</f>
        <v>1747.02</v>
      </c>
      <c r="I278" s="18"/>
      <c r="J278" s="18"/>
      <c r="K278" s="18"/>
      <c r="L278" s="19">
        <f t="shared" si="12"/>
        <v>1747.02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f>-173.25+-51.75</f>
        <v>-225</v>
      </c>
      <c r="G280" s="18"/>
      <c r="H280" s="18"/>
      <c r="I280" s="18"/>
      <c r="J280" s="18"/>
      <c r="K280" s="18"/>
      <c r="L280" s="19">
        <f>SUM(F280:K280)</f>
        <v>-225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82574.77</v>
      </c>
      <c r="G282" s="42">
        <f>SUM(G268:G281)</f>
        <v>27796.97</v>
      </c>
      <c r="H282" s="42">
        <f t="shared" si="13"/>
        <v>7088.0400000000009</v>
      </c>
      <c r="I282" s="42">
        <f t="shared" si="13"/>
        <v>4264.66</v>
      </c>
      <c r="J282" s="42">
        <f t="shared" si="13"/>
        <v>0</v>
      </c>
      <c r="K282" s="42">
        <f t="shared" si="13"/>
        <v>2553.9699999999998</v>
      </c>
      <c r="L282" s="41">
        <f t="shared" si="13"/>
        <v>124278.41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82574.77</v>
      </c>
      <c r="G330" s="41">
        <f t="shared" si="20"/>
        <v>27796.97</v>
      </c>
      <c r="H330" s="41">
        <f t="shared" si="20"/>
        <v>7088.0400000000009</v>
      </c>
      <c r="I330" s="41">
        <f t="shared" si="20"/>
        <v>4264.66</v>
      </c>
      <c r="J330" s="41">
        <f t="shared" si="20"/>
        <v>0</v>
      </c>
      <c r="K330" s="41">
        <f t="shared" si="20"/>
        <v>2553.9699999999998</v>
      </c>
      <c r="L330" s="41">
        <f t="shared" si="20"/>
        <v>124278.41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82574.77</v>
      </c>
      <c r="G344" s="41">
        <f>G330</f>
        <v>27796.97</v>
      </c>
      <c r="H344" s="41">
        <f>H330</f>
        <v>7088.0400000000009</v>
      </c>
      <c r="I344" s="41">
        <f>I330</f>
        <v>4264.66</v>
      </c>
      <c r="J344" s="41">
        <f>J330</f>
        <v>0</v>
      </c>
      <c r="K344" s="47">
        <f>K330+K343</f>
        <v>2553.9699999999998</v>
      </c>
      <c r="L344" s="41">
        <f>L330+L343</f>
        <v>124278.41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29055.62+8678.95</f>
        <v>37734.57</v>
      </c>
      <c r="G350" s="18">
        <f>4343.7+1297.47</f>
        <v>5641.17</v>
      </c>
      <c r="H350" s="18">
        <f>21340.36+6374.39</f>
        <v>27714.75</v>
      </c>
      <c r="I350" s="18">
        <f>29350.34+8766.99</f>
        <v>38117.33</v>
      </c>
      <c r="J350" s="18"/>
      <c r="K350" s="18"/>
      <c r="L350" s="13">
        <f>SUM(F350:K350)</f>
        <v>109207.81999999999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37734.57</v>
      </c>
      <c r="G354" s="47">
        <f t="shared" si="22"/>
        <v>5641.17</v>
      </c>
      <c r="H354" s="47">
        <f t="shared" si="22"/>
        <v>27714.75</v>
      </c>
      <c r="I354" s="47">
        <f t="shared" si="22"/>
        <v>38117.33</v>
      </c>
      <c r="J354" s="47">
        <f t="shared" si="22"/>
        <v>0</v>
      </c>
      <c r="K354" s="47">
        <f t="shared" si="22"/>
        <v>0</v>
      </c>
      <c r="L354" s="47">
        <f t="shared" si="22"/>
        <v>109207.81999999999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26748.35</v>
      </c>
      <c r="G359" s="18">
        <v>7989.77</v>
      </c>
      <c r="H359" s="18"/>
      <c r="I359" s="56">
        <f>SUM(F359:H359)</f>
        <v>34738.119999999995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2601.9899999999998</v>
      </c>
      <c r="G360" s="63">
        <v>777.22</v>
      </c>
      <c r="H360" s="63"/>
      <c r="I360" s="56">
        <f>SUM(F360:H360)</f>
        <v>3379.21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29350.339999999997</v>
      </c>
      <c r="G361" s="47">
        <f>SUM(G359:G360)</f>
        <v>8766.99</v>
      </c>
      <c r="H361" s="47">
        <f>SUM(H359:H360)</f>
        <v>0</v>
      </c>
      <c r="I361" s="47">
        <f>SUM(I359:I360)</f>
        <v>38117.329999999994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20000</v>
      </c>
      <c r="H381" s="18"/>
      <c r="I381" s="18"/>
      <c r="J381" s="24" t="s">
        <v>312</v>
      </c>
      <c r="K381" s="24" t="s">
        <v>312</v>
      </c>
      <c r="L381" s="56">
        <f t="shared" si="25"/>
        <v>20000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20000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20000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20000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20000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>
        <v>115000</v>
      </c>
      <c r="L415" s="56">
        <f t="shared" si="29"/>
        <v>115000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115000</v>
      </c>
      <c r="L419" s="47">
        <f t="shared" si="30"/>
        <v>115000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115000</v>
      </c>
      <c r="L426" s="47">
        <f t="shared" si="32"/>
        <v>115000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30386.28</v>
      </c>
      <c r="G432" s="18"/>
      <c r="H432" s="18"/>
      <c r="I432" s="56">
        <f t="shared" si="33"/>
        <v>30386.28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30386.28</v>
      </c>
      <c r="G438" s="13">
        <f>SUM(G431:G437)</f>
        <v>0</v>
      </c>
      <c r="H438" s="13">
        <f>SUM(H431:H437)</f>
        <v>0</v>
      </c>
      <c r="I438" s="13">
        <f>SUM(I431:I437)</f>
        <v>30386.28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>
        <v>30386.28</v>
      </c>
      <c r="G447" s="18"/>
      <c r="H447" s="18"/>
      <c r="I447" s="56">
        <f>SUM(F447:H447)</f>
        <v>30386.28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30386.28</v>
      </c>
      <c r="G450" s="83">
        <f>SUM(G446:G449)</f>
        <v>0</v>
      </c>
      <c r="H450" s="83">
        <f>SUM(H446:H449)</f>
        <v>0</v>
      </c>
      <c r="I450" s="83">
        <f>SUM(I446:I449)</f>
        <v>30386.28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30386.28</v>
      </c>
      <c r="G451" s="42">
        <f>G444+G450</f>
        <v>0</v>
      </c>
      <c r="H451" s="42">
        <f>H444+H450</f>
        <v>0</v>
      </c>
      <c r="I451" s="42">
        <f>I444+I450</f>
        <v>30386.28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286048.05</v>
      </c>
      <c r="G455" s="18"/>
      <c r="H455" s="18">
        <v>204522.68</v>
      </c>
      <c r="I455" s="18"/>
      <c r="J455" s="18">
        <v>10386.280000000001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5657174.98+24540.68</f>
        <v>5681715.6600000001</v>
      </c>
      <c r="G458" s="18">
        <v>109207.82</v>
      </c>
      <c r="H458" s="18">
        <v>44051.99</v>
      </c>
      <c r="I458" s="18"/>
      <c r="J458" s="18">
        <v>20000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>
        <v>115000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5681715.6600000001</v>
      </c>
      <c r="G460" s="53">
        <f>SUM(G458:G459)</f>
        <v>109207.82</v>
      </c>
      <c r="H460" s="53">
        <f>SUM(H458:H459)</f>
        <v>44051.99</v>
      </c>
      <c r="I460" s="53">
        <f>SUM(I458:I459)</f>
        <v>0</v>
      </c>
      <c r="J460" s="53">
        <f>SUM(J458:J459)</f>
        <v>135000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5805277.9299999997</v>
      </c>
      <c r="G462" s="18">
        <v>109207.82</v>
      </c>
      <c r="H462" s="18">
        <v>124278.41</v>
      </c>
      <c r="I462" s="18"/>
      <c r="J462" s="18">
        <v>115000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24540.68</v>
      </c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5829818.6099999994</v>
      </c>
      <c r="G464" s="53">
        <f>SUM(G462:G463)</f>
        <v>109207.82</v>
      </c>
      <c r="H464" s="53">
        <f>SUM(H462:H463)</f>
        <v>124278.41</v>
      </c>
      <c r="I464" s="53">
        <f>SUM(I462:I463)</f>
        <v>0</v>
      </c>
      <c r="J464" s="53">
        <f>SUM(J462:J463)</f>
        <v>115000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137945.10000000056</v>
      </c>
      <c r="G466" s="53">
        <f>(G455+G460)- G464</f>
        <v>0</v>
      </c>
      <c r="H466" s="53">
        <f>(H455+H460)- H464</f>
        <v>124296.25999999998</v>
      </c>
      <c r="I466" s="53">
        <f>(I455+I460)- I464</f>
        <v>0</v>
      </c>
      <c r="J466" s="53">
        <f>(J455+J460)- J464</f>
        <v>30386.28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895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 t="s">
        <v>896</v>
      </c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345960.82</v>
      </c>
      <c r="G511" s="18">
        <v>241593.98</v>
      </c>
      <c r="H511" s="18">
        <v>68759.179999999993</v>
      </c>
      <c r="I511" s="18">
        <v>834.28</v>
      </c>
      <c r="J511" s="18"/>
      <c r="K511" s="18"/>
      <c r="L511" s="88">
        <f>SUM(F511:K511)</f>
        <v>657148.26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286389.83</v>
      </c>
      <c r="G512" s="18">
        <v>186027.36</v>
      </c>
      <c r="H512" s="18">
        <v>52944.57</v>
      </c>
      <c r="I512" s="18">
        <v>642.4</v>
      </c>
      <c r="J512" s="18"/>
      <c r="K512" s="18"/>
      <c r="L512" s="88">
        <f>SUM(F512:K512)</f>
        <v>526004.16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79570.990000000005</v>
      </c>
      <c r="G513" s="18">
        <v>55566.62</v>
      </c>
      <c r="H513" s="18">
        <v>15814.61</v>
      </c>
      <c r="I513" s="18">
        <v>191.8</v>
      </c>
      <c r="J513" s="18"/>
      <c r="K513" s="18"/>
      <c r="L513" s="88">
        <f>SUM(F513:K513)</f>
        <v>151144.02000000002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711921.64</v>
      </c>
      <c r="G514" s="108">
        <f t="shared" ref="G514:L514" si="35">SUM(G511:G513)</f>
        <v>483187.95999999996</v>
      </c>
      <c r="H514" s="108">
        <f t="shared" si="35"/>
        <v>137518.35999999999</v>
      </c>
      <c r="I514" s="108">
        <f t="shared" si="35"/>
        <v>1668.4799999999998</v>
      </c>
      <c r="J514" s="108">
        <f t="shared" si="35"/>
        <v>0</v>
      </c>
      <c r="K514" s="108">
        <f t="shared" si="35"/>
        <v>0</v>
      </c>
      <c r="L514" s="89">
        <f t="shared" si="35"/>
        <v>1334296.44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60688+59069</f>
        <v>119757</v>
      </c>
      <c r="G516" s="18">
        <f>18662.28+466.16+4295.1+4867.2+80+107+18583.67+464.22+4266.83+4737.23+127+213</f>
        <v>56869.69</v>
      </c>
      <c r="H516" s="175"/>
      <c r="I516" s="18">
        <f>324.2+408.47</f>
        <v>732.67000000000007</v>
      </c>
      <c r="J516" s="18"/>
      <c r="K516" s="18"/>
      <c r="L516" s="88">
        <f>SUM(F516:K516)</f>
        <v>177359.36000000002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 t="shared" ref="F519:L519" si="36">SUM(F516:F518)</f>
        <v>119757</v>
      </c>
      <c r="G519" s="89">
        <f t="shared" si="36"/>
        <v>56869.69</v>
      </c>
      <c r="H519" s="89">
        <f t="shared" si="36"/>
        <v>0</v>
      </c>
      <c r="I519" s="89">
        <f t="shared" si="36"/>
        <v>732.67000000000007</v>
      </c>
      <c r="J519" s="89">
        <f t="shared" si="36"/>
        <v>0</v>
      </c>
      <c r="K519" s="89">
        <f t="shared" si="36"/>
        <v>0</v>
      </c>
      <c r="L519" s="89">
        <f t="shared" si="36"/>
        <v>177359.36000000002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47061.14</v>
      </c>
      <c r="G521" s="18">
        <v>24577.16</v>
      </c>
      <c r="H521" s="18"/>
      <c r="I521" s="18"/>
      <c r="J521" s="18"/>
      <c r="K521" s="18"/>
      <c r="L521" s="88">
        <f>SUM(F521:K521)</f>
        <v>71638.3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14174.08</v>
      </c>
      <c r="G522" s="18">
        <v>7402.26</v>
      </c>
      <c r="H522" s="18"/>
      <c r="I522" s="18"/>
      <c r="J522" s="18"/>
      <c r="K522" s="18"/>
      <c r="L522" s="88">
        <f>SUM(F522:K522)</f>
        <v>21576.34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38301.879999999997</v>
      </c>
      <c r="G523" s="18">
        <v>20002.73</v>
      </c>
      <c r="H523" s="18"/>
      <c r="I523" s="18"/>
      <c r="J523" s="18"/>
      <c r="K523" s="18"/>
      <c r="L523" s="88">
        <f>SUM(F523:K523)</f>
        <v>58304.61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99537.1</v>
      </c>
      <c r="G524" s="89">
        <f t="shared" ref="G524:L524" si="37">SUM(G521:G523)</f>
        <v>51982.149999999994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151519.25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6742.41</v>
      </c>
      <c r="I531" s="18"/>
      <c r="J531" s="18"/>
      <c r="K531" s="18"/>
      <c r="L531" s="88">
        <f>SUM(F531:K531)</f>
        <v>6742.41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6742.41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6742.41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931215.74</v>
      </c>
      <c r="G535" s="89">
        <f t="shared" ref="G535:L535" si="40">G514+G519+G524+G529+G534</f>
        <v>592039.79999999993</v>
      </c>
      <c r="H535" s="89">
        <f t="shared" si="40"/>
        <v>144260.76999999999</v>
      </c>
      <c r="I535" s="89">
        <f t="shared" si="40"/>
        <v>2401.1499999999996</v>
      </c>
      <c r="J535" s="89">
        <f t="shared" si="40"/>
        <v>0</v>
      </c>
      <c r="K535" s="89">
        <f t="shared" si="40"/>
        <v>0</v>
      </c>
      <c r="L535" s="89">
        <f t="shared" si="40"/>
        <v>1669917.46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657148.26</v>
      </c>
      <c r="G539" s="87">
        <f>L516</f>
        <v>177359.36000000002</v>
      </c>
      <c r="H539" s="87">
        <f>L521</f>
        <v>71638.3</v>
      </c>
      <c r="I539" s="87">
        <f>L526</f>
        <v>0</v>
      </c>
      <c r="J539" s="87">
        <f>L531</f>
        <v>6742.41</v>
      </c>
      <c r="K539" s="87">
        <f>SUM(F539:J539)</f>
        <v>912888.33000000007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526004.16</v>
      </c>
      <c r="G540" s="87">
        <f>L517</f>
        <v>0</v>
      </c>
      <c r="H540" s="87">
        <f>L522</f>
        <v>21576.34</v>
      </c>
      <c r="I540" s="87">
        <f>L527</f>
        <v>0</v>
      </c>
      <c r="J540" s="87">
        <f>L532</f>
        <v>0</v>
      </c>
      <c r="K540" s="87">
        <f>SUM(F540:J540)</f>
        <v>547580.5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151144.02000000002</v>
      </c>
      <c r="G541" s="87">
        <f>L518</f>
        <v>0</v>
      </c>
      <c r="H541" s="87">
        <f>L523</f>
        <v>58304.61</v>
      </c>
      <c r="I541" s="87">
        <f>L528</f>
        <v>0</v>
      </c>
      <c r="J541" s="87">
        <f>L533</f>
        <v>0</v>
      </c>
      <c r="K541" s="87">
        <f>SUM(F541:J541)</f>
        <v>209448.63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1334296.44</v>
      </c>
      <c r="G542" s="89">
        <f t="shared" si="41"/>
        <v>177359.36000000002</v>
      </c>
      <c r="H542" s="89">
        <f t="shared" si="41"/>
        <v>151519.25</v>
      </c>
      <c r="I542" s="89">
        <f t="shared" si="41"/>
        <v>0</v>
      </c>
      <c r="J542" s="89">
        <f t="shared" si="41"/>
        <v>6742.41</v>
      </c>
      <c r="K542" s="89">
        <f t="shared" si="41"/>
        <v>1669917.46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1219311</v>
      </c>
      <c r="I565" s="87">
        <f>SUM(F565:H565)</f>
        <v>1219311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f>46699.06+17850.82</f>
        <v>64549.88</v>
      </c>
      <c r="G569" s="18"/>
      <c r="H569" s="18"/>
      <c r="I569" s="87">
        <f t="shared" si="46"/>
        <v>64549.88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4"/>
      <c r="G572" s="18"/>
      <c r="H572" s="18">
        <v>321581.99</v>
      </c>
      <c r="I572" s="87">
        <f>SUM(G572:H572)</f>
        <v>321581.99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105701.49</v>
      </c>
      <c r="I581" s="18"/>
      <c r="J581" s="18">
        <v>72897.259999999995</v>
      </c>
      <c r="K581" s="104">
        <f t="shared" ref="K581:K587" si="47">SUM(H581:J581)</f>
        <v>178598.75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6742.41</v>
      </c>
      <c r="I582" s="18"/>
      <c r="J582" s="18"/>
      <c r="K582" s="104">
        <f t="shared" si="47"/>
        <v>6742.41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4100.78</v>
      </c>
      <c r="I587" s="18"/>
      <c r="J587" s="18"/>
      <c r="K587" s="104">
        <f t="shared" si="47"/>
        <v>4100.78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116544.68000000001</v>
      </c>
      <c r="I588" s="108">
        <f>SUM(I581:I587)</f>
        <v>0</v>
      </c>
      <c r="J588" s="108">
        <f>SUM(J581:J587)</f>
        <v>72897.259999999995</v>
      </c>
      <c r="K588" s="108">
        <f>SUM(K581:K587)</f>
        <v>189441.94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49853.39</v>
      </c>
      <c r="I594" s="18"/>
      <c r="J594" s="18"/>
      <c r="K594" s="104">
        <f>SUM(H594:J594)</f>
        <v>49853.39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49853.39</v>
      </c>
      <c r="I595" s="108">
        <f>SUM(I592:I594)</f>
        <v>0</v>
      </c>
      <c r="J595" s="108">
        <f>SUM(J592:J594)</f>
        <v>0</v>
      </c>
      <c r="K595" s="108">
        <f>SUM(K592:K594)</f>
        <v>49853.39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494473.15</v>
      </c>
      <c r="H607" s="109">
        <f>SUM(F44)</f>
        <v>494473.15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19027.32</v>
      </c>
      <c r="H608" s="109">
        <f>SUM(G44)</f>
        <v>19027.32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177667.20000000001</v>
      </c>
      <c r="H609" s="109">
        <f>SUM(H44)</f>
        <v>177667.20000000001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30386.28</v>
      </c>
      <c r="H611" s="109">
        <f>SUM(J44)</f>
        <v>30386.28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137945.1</v>
      </c>
      <c r="H612" s="109">
        <f>F466</f>
        <v>137945.10000000056</v>
      </c>
      <c r="I612" s="121" t="s">
        <v>106</v>
      </c>
      <c r="J612" s="109">
        <f t="shared" ref="J612:J645" si="49">G612-H612</f>
        <v>-5.5297277867794037E-10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124296.26000000001</v>
      </c>
      <c r="H614" s="109">
        <f>H466</f>
        <v>124296.25999999998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30386.28</v>
      </c>
      <c r="H616" s="109">
        <f>J466</f>
        <v>30386.28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5681715.6600000001</v>
      </c>
      <c r="H617" s="104">
        <f>SUM(F458)</f>
        <v>5681715.6600000001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109207.82</v>
      </c>
      <c r="H618" s="104">
        <f>SUM(G458)</f>
        <v>109207.82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44051.990000000005</v>
      </c>
      <c r="H619" s="104">
        <f>SUM(H458)</f>
        <v>44051.99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20000</v>
      </c>
      <c r="H621" s="104">
        <f>SUM(J458)</f>
        <v>20000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5805277.9299999997</v>
      </c>
      <c r="H622" s="104">
        <f>SUM(F462)</f>
        <v>5805277.9299999997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124278.41</v>
      </c>
      <c r="H623" s="104">
        <f>SUM(H462)</f>
        <v>124278.41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38117.33</v>
      </c>
      <c r="H624" s="104">
        <f>I361</f>
        <v>38117.329999999994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109207.81999999999</v>
      </c>
      <c r="H625" s="104">
        <f>SUM(G462)</f>
        <v>109207.82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20000</v>
      </c>
      <c r="H627" s="164">
        <f>SUM(J458)</f>
        <v>20000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115000</v>
      </c>
      <c r="H628" s="164">
        <f>SUM(J462)</f>
        <v>115000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30386.28</v>
      </c>
      <c r="H629" s="104">
        <f>SUM(F451)</f>
        <v>30386.28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30386.28</v>
      </c>
      <c r="H632" s="104">
        <f>SUM(I451)</f>
        <v>30386.28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20000</v>
      </c>
      <c r="H635" s="104">
        <f>G400</f>
        <v>20000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20000</v>
      </c>
      <c r="H636" s="104">
        <f>L400</f>
        <v>20000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189441.94</v>
      </c>
      <c r="H637" s="104">
        <f>L200+L218+L236</f>
        <v>189441.94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49853.39</v>
      </c>
      <c r="H638" s="104">
        <f>(J249+J330)-(J247+J328)</f>
        <v>49853.39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116544.68</v>
      </c>
      <c r="H639" s="104">
        <f>H588</f>
        <v>116544.68000000001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72897.259999999995</v>
      </c>
      <c r="H641" s="104">
        <f>J588</f>
        <v>72897.259999999995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29857.78</v>
      </c>
      <c r="H642" s="104">
        <f>K255+K337</f>
        <v>29857.78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20000</v>
      </c>
      <c r="H645" s="104">
        <f>K258+K339</f>
        <v>20000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4031654.84</v>
      </c>
      <c r="G650" s="19">
        <f>(L221+L301+L351)</f>
        <v>0</v>
      </c>
      <c r="H650" s="19">
        <f>(L239+L320+L352)</f>
        <v>1695287.81</v>
      </c>
      <c r="I650" s="19">
        <f>SUM(F650:H650)</f>
        <v>5726942.6500000004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26422.62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26422.62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116544.68</v>
      </c>
      <c r="G652" s="19">
        <f>(L218+L298)-(J218+J298)</f>
        <v>0</v>
      </c>
      <c r="H652" s="19">
        <f>(L236+L317)-(J236+J317)</f>
        <v>72897.259999999995</v>
      </c>
      <c r="I652" s="19">
        <f>SUM(F652:H652)</f>
        <v>189441.94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114403.26999999999</v>
      </c>
      <c r="G653" s="200">
        <f>SUM(G565:G577)+SUM(I592:I594)+L602</f>
        <v>0</v>
      </c>
      <c r="H653" s="200">
        <f>SUM(H565:H577)+SUM(J592:J594)+L603</f>
        <v>1540892.99</v>
      </c>
      <c r="I653" s="19">
        <f>SUM(F653:H653)</f>
        <v>1655296.26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3774284.27</v>
      </c>
      <c r="G654" s="19">
        <f>G650-SUM(G651:G653)</f>
        <v>0</v>
      </c>
      <c r="H654" s="19">
        <f>H650-SUM(H651:H653)</f>
        <v>81497.560000000056</v>
      </c>
      <c r="I654" s="19">
        <f>I650-SUM(I651:I653)</f>
        <v>3855781.83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194.38</v>
      </c>
      <c r="G655" s="249"/>
      <c r="H655" s="249"/>
      <c r="I655" s="19">
        <f>SUM(F655:H655)</f>
        <v>194.38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19417.04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19836.310000000001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-81497.56</v>
      </c>
      <c r="I659" s="19">
        <f>SUM(F659:H659)</f>
        <v>-81497.56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19417.04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19417.04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C1EAA-615E-4183-A237-CAC1FF64A2B7}">
  <sheetPr>
    <tabColor indexed="20"/>
  </sheetPr>
  <dimension ref="A1:C52"/>
  <sheetViews>
    <sheetView workbookViewId="0">
      <selection activeCell="B20" sqref="B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TAMWORTH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1251218.47</v>
      </c>
      <c r="C9" s="230">
        <f>'DOE25'!G189+'DOE25'!G207+'DOE25'!G225+'DOE25'!G268+'DOE25'!G287+'DOE25'!G306</f>
        <v>512374.58</v>
      </c>
    </row>
    <row r="10" spans="1:3" x14ac:dyDescent="0.2">
      <c r="A10" t="s">
        <v>810</v>
      </c>
      <c r="B10" s="241">
        <v>1099880.1499999999</v>
      </c>
      <c r="C10" s="241">
        <v>486022.9</v>
      </c>
    </row>
    <row r="11" spans="1:3" x14ac:dyDescent="0.2">
      <c r="A11" t="s">
        <v>811</v>
      </c>
      <c r="B11" s="241">
        <v>151338.32</v>
      </c>
      <c r="C11" s="241">
        <v>26351.68</v>
      </c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1251218.47</v>
      </c>
      <c r="C13" s="232">
        <f>SUM(C10:C12)</f>
        <v>512374.58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'DOE25'!F190+'DOE25'!F208+'DOE25'!F226+'DOE25'!G268+'DOE25'!F288+'DOE25'!F307</f>
        <v>425521.5</v>
      </c>
      <c r="C18" s="230">
        <f>'DOE25'!G190+'DOE25'!G208+'DOE25'!G226+'DOE25'!G269+'DOE25'!G288+'DOE25'!G307</f>
        <v>257275.15</v>
      </c>
    </row>
    <row r="19" spans="1:3" x14ac:dyDescent="0.2">
      <c r="A19" t="s">
        <v>810</v>
      </c>
      <c r="B19" s="241">
        <v>268122.28999999998</v>
      </c>
      <c r="C19" s="241">
        <v>241593.98</v>
      </c>
    </row>
    <row r="20" spans="1:3" x14ac:dyDescent="0.2">
      <c r="A20" t="s">
        <v>811</v>
      </c>
      <c r="B20" s="241">
        <f>151338.32+6060.89</f>
        <v>157399.21000000002</v>
      </c>
      <c r="C20" s="241">
        <v>15681.17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425521.5</v>
      </c>
      <c r="C22" s="232">
        <f>SUM(C19:C21)</f>
        <v>257275.15000000002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16120.24</v>
      </c>
      <c r="C36" s="236">
        <f>'DOE25'!G192+'DOE25'!G210+'DOE25'!G228+'DOE25'!G271+'DOE25'!G290+'DOE25'!G309</f>
        <v>1954.7800000000002</v>
      </c>
    </row>
    <row r="37" spans="1:3" x14ac:dyDescent="0.2">
      <c r="A37" t="s">
        <v>810</v>
      </c>
      <c r="B37" s="241">
        <v>16120.24</v>
      </c>
      <c r="C37" s="241">
        <v>1954.78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16120.24</v>
      </c>
      <c r="C40" s="232">
        <f>SUM(C37:C39)</f>
        <v>1954.78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2ED52-E8C1-4D2E-839C-C978F82C607F}">
  <sheetPr>
    <tabColor indexed="11"/>
  </sheetPr>
  <dimension ref="A1:I51"/>
  <sheetViews>
    <sheetView workbookViewId="0">
      <pane ySplit="4" topLeftCell="A13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TAMWORTH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4122264.8899999997</v>
      </c>
      <c r="D5" s="20">
        <f>SUM('DOE25'!L189:L192)+SUM('DOE25'!L207:L210)+SUM('DOE25'!L225:L228)-F5-G5</f>
        <v>4097637.09</v>
      </c>
      <c r="E5" s="244"/>
      <c r="F5" s="256">
        <f>SUM('DOE25'!J189:J192)+SUM('DOE25'!J207:J210)+SUM('DOE25'!J225:J228)</f>
        <v>24627.8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274091.82</v>
      </c>
      <c r="D6" s="20">
        <f>'DOE25'!L194+'DOE25'!L212+'DOE25'!L230-F6-G6</f>
        <v>273890.17</v>
      </c>
      <c r="E6" s="244"/>
      <c r="F6" s="256">
        <f>'DOE25'!J194+'DOE25'!J212+'DOE25'!J230</f>
        <v>201.65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129282.01999999999</v>
      </c>
      <c r="D7" s="20">
        <f>'DOE25'!L195+'DOE25'!L213+'DOE25'!L231-F7-G7</f>
        <v>129282.01999999999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191990.5</v>
      </c>
      <c r="D8" s="244"/>
      <c r="E8" s="20">
        <f>'DOE25'!L196+'DOE25'!L214+'DOE25'!L232-F8-G8-D9-D11</f>
        <v>188672.86</v>
      </c>
      <c r="F8" s="256">
        <f>'DOE25'!J196+'DOE25'!J214+'DOE25'!J232</f>
        <v>0</v>
      </c>
      <c r="G8" s="53">
        <f>'DOE25'!K196+'DOE25'!K214+'DOE25'!K232</f>
        <v>3317.64</v>
      </c>
      <c r="H8" s="260"/>
    </row>
    <row r="9" spans="1:9" x14ac:dyDescent="0.2">
      <c r="A9" s="32">
        <v>2310</v>
      </c>
      <c r="B9" t="s">
        <v>849</v>
      </c>
      <c r="C9" s="246">
        <f t="shared" si="0"/>
        <v>2053.5</v>
      </c>
      <c r="D9" s="245">
        <f>150+620+1253.7+12.63+17.17</f>
        <v>2053.5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16088.45</v>
      </c>
      <c r="D10" s="244"/>
      <c r="E10" s="245">
        <v>16088.45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64124.31</v>
      </c>
      <c r="D11" s="245">
        <v>64124.31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179779.14</v>
      </c>
      <c r="D12" s="20">
        <f>'DOE25'!L197+'DOE25'!L215+'DOE25'!L233-F12-G12</f>
        <v>178448.02000000002</v>
      </c>
      <c r="E12" s="244"/>
      <c r="F12" s="256">
        <f>'DOE25'!J197+'DOE25'!J215+'DOE25'!J233</f>
        <v>0</v>
      </c>
      <c r="G12" s="53">
        <f>'DOE25'!K197+'DOE25'!K215+'DOE25'!K233</f>
        <v>1331.1200000000001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819</v>
      </c>
      <c r="D13" s="244"/>
      <c r="E13" s="20">
        <f>'DOE25'!L198+'DOE25'!L216+'DOE25'!L234-F13-G13</f>
        <v>819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339609.3</v>
      </c>
      <c r="D14" s="20">
        <f>'DOE25'!L199+'DOE25'!L217+'DOE25'!L235-F14-G14</f>
        <v>314585.36</v>
      </c>
      <c r="E14" s="244"/>
      <c r="F14" s="256">
        <f>'DOE25'!J199+'DOE25'!J217+'DOE25'!J235</f>
        <v>25023.940000000002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189441.94</v>
      </c>
      <c r="D15" s="20">
        <f>'DOE25'!L200+'DOE25'!L218+'DOE25'!L236-F15-G15</f>
        <v>189441.94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261963.72999999998</v>
      </c>
      <c r="D25" s="244"/>
      <c r="E25" s="244"/>
      <c r="F25" s="259"/>
      <c r="G25" s="257"/>
      <c r="H25" s="258">
        <f>'DOE25'!L252+'DOE25'!L253+'DOE25'!L333+'DOE25'!L334</f>
        <v>261963.72999999998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74469.7</v>
      </c>
      <c r="D29" s="20">
        <f>'DOE25'!L350+'DOE25'!L351+'DOE25'!L352-'DOE25'!I359-F29-G29</f>
        <v>74469.7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124278.41</v>
      </c>
      <c r="D31" s="20">
        <f>'DOE25'!L282+'DOE25'!L301+'DOE25'!L320+'DOE25'!L325+'DOE25'!L326+'DOE25'!L327-F31-G31</f>
        <v>121724.44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2553.9699999999998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5445656.5500000007</v>
      </c>
      <c r="E33" s="247">
        <f>SUM(E5:E31)</f>
        <v>205580.31</v>
      </c>
      <c r="F33" s="247">
        <f>SUM(F5:F31)</f>
        <v>49853.39</v>
      </c>
      <c r="G33" s="247">
        <f>SUM(G5:G31)</f>
        <v>7202.73</v>
      </c>
      <c r="H33" s="247">
        <f>SUM(H5:H31)</f>
        <v>261963.72999999998</v>
      </c>
    </row>
    <row r="35" spans="2:8" ht="12" thickBot="1" x14ac:dyDescent="0.25">
      <c r="B35" s="254" t="s">
        <v>878</v>
      </c>
      <c r="D35" s="255">
        <f>E33</f>
        <v>205580.31</v>
      </c>
      <c r="E35" s="250"/>
    </row>
    <row r="36" spans="2:8" ht="12" thickTop="1" x14ac:dyDescent="0.2">
      <c r="B36" t="s">
        <v>846</v>
      </c>
      <c r="D36" s="20">
        <f>D33</f>
        <v>5445656.5500000007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CBF8-C06D-4D26-B45B-4A7BA3FCD013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TAMWORTH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120643.2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175155.86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30386.28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19230.59</v>
      </c>
      <c r="D12" s="95">
        <f>'DOE25'!G12</f>
        <v>19027.32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95348.04</v>
      </c>
      <c r="D13" s="95">
        <f>'DOE25'!G13</f>
        <v>0</v>
      </c>
      <c r="E13" s="95">
        <f>'DOE25'!H13</f>
        <v>45563.51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132103.69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84095.46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494473.15</v>
      </c>
      <c r="D19" s="41">
        <f>SUM(D9:D18)</f>
        <v>19027.32</v>
      </c>
      <c r="E19" s="41">
        <f>SUM(E9:E18)</f>
        <v>177667.20000000001</v>
      </c>
      <c r="F19" s="41">
        <f>SUM(F9:F18)</f>
        <v>0</v>
      </c>
      <c r="G19" s="41">
        <f>SUM(G9:G18)</f>
        <v>30386.28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38257.910000000003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97785.459999999992</v>
      </c>
      <c r="D23" s="95">
        <f>'DOE25'!G24</f>
        <v>0</v>
      </c>
      <c r="E23" s="95">
        <f>'DOE25'!H24</f>
        <v>2523.04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151631.93</v>
      </c>
      <c r="D24" s="95">
        <f>'DOE25'!G25</f>
        <v>400</v>
      </c>
      <c r="E24" s="95">
        <f>'DOE25'!H25</f>
        <v>2855.67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18627.32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9806.2800000000007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82576.2</v>
      </c>
      <c r="D29" s="95">
        <f>'DOE25'!G30</f>
        <v>0</v>
      </c>
      <c r="E29" s="95">
        <f>'DOE25'!H30</f>
        <v>9734.32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14728.18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356528.05</v>
      </c>
      <c r="D32" s="41">
        <f>SUM(D22:D31)</f>
        <v>19027.32</v>
      </c>
      <c r="E32" s="41">
        <f>SUM(E22:E31)</f>
        <v>53370.94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82293.53</v>
      </c>
      <c r="D36" s="95">
        <f>'DOE25'!G37</f>
        <v>0</v>
      </c>
      <c r="E36" s="95">
        <f>'DOE25'!H37</f>
        <v>17.850000000000001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30386.28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124278.41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55651.57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137945.1</v>
      </c>
      <c r="D42" s="41">
        <f>SUM(D34:D41)</f>
        <v>0</v>
      </c>
      <c r="E42" s="41">
        <f>SUM(E34:E41)</f>
        <v>124296.26000000001</v>
      </c>
      <c r="F42" s="41">
        <f>SUM(F34:F41)</f>
        <v>0</v>
      </c>
      <c r="G42" s="41">
        <f>SUM(G34:G41)</f>
        <v>30386.28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494473.15</v>
      </c>
      <c r="D43" s="41">
        <f>D42+D32</f>
        <v>19027.32</v>
      </c>
      <c r="E43" s="41">
        <f>E42+E32</f>
        <v>177667.20000000001</v>
      </c>
      <c r="F43" s="41">
        <f>F42+F32</f>
        <v>0</v>
      </c>
      <c r="G43" s="41">
        <f>G42+G32</f>
        <v>30386.28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4008701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26390.52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413.8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26422.62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12518.9</v>
      </c>
      <c r="D53" s="95">
        <f>SUM('DOE25'!G90:G102)</f>
        <v>0</v>
      </c>
      <c r="E53" s="95">
        <f>SUM('DOE25'!H90:H102)</f>
        <v>500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39323.22</v>
      </c>
      <c r="D54" s="130">
        <f>SUM(D49:D53)</f>
        <v>26422.62</v>
      </c>
      <c r="E54" s="130">
        <f>SUM(E49:E53)</f>
        <v>500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4048024.22</v>
      </c>
      <c r="D55" s="22">
        <f>D48+D54</f>
        <v>26422.62</v>
      </c>
      <c r="E55" s="22">
        <f>E48+E54</f>
        <v>500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622134.36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735703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22564.639999999999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1380401.9999999998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49083.360000000001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42647.68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49083.360000000001</v>
      </c>
      <c r="D70" s="130">
        <f>SUM(D64:D69)</f>
        <v>42647.68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57082.5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1486567.8599999999</v>
      </c>
      <c r="D73" s="130">
        <f>SUM(D71:D72)+D70+D62</f>
        <v>42647.68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31961.81</v>
      </c>
      <c r="D80" s="95">
        <f>SUM('DOE25'!G145:G153)</f>
        <v>10279.74</v>
      </c>
      <c r="E80" s="95">
        <f>SUM('DOE25'!H145:H153)</f>
        <v>43551.990000000005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161.77000000000001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32123.58</v>
      </c>
      <c r="D83" s="131">
        <f>SUM(D77:D82)</f>
        <v>10279.74</v>
      </c>
      <c r="E83" s="131">
        <f>SUM(E77:E82)</f>
        <v>43551.990000000005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29857.78</v>
      </c>
      <c r="E88" s="95">
        <f>'DOE25'!H171</f>
        <v>0</v>
      </c>
      <c r="F88" s="95">
        <f>'DOE25'!I171</f>
        <v>0</v>
      </c>
      <c r="G88" s="95">
        <f>'DOE25'!J171</f>
        <v>20000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115000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115000</v>
      </c>
      <c r="D95" s="86">
        <f>SUM(D85:D94)</f>
        <v>29857.78</v>
      </c>
      <c r="E95" s="86">
        <f>SUM(E85:E94)</f>
        <v>0</v>
      </c>
      <c r="F95" s="86">
        <f>SUM(F85:F94)</f>
        <v>0</v>
      </c>
      <c r="G95" s="86">
        <f>SUM(G85:G94)</f>
        <v>20000</v>
      </c>
    </row>
    <row r="96" spans="1:7" ht="12.75" thickTop="1" thickBot="1" x14ac:dyDescent="0.25">
      <c r="A96" s="33" t="s">
        <v>796</v>
      </c>
      <c r="C96" s="86">
        <f>C55+C73+C83+C95</f>
        <v>5681715.6600000001</v>
      </c>
      <c r="D96" s="86">
        <f>D55+D73+D83+D95</f>
        <v>109207.82</v>
      </c>
      <c r="E96" s="86">
        <f>E55+E73+E83+E95</f>
        <v>44051.990000000005</v>
      </c>
      <c r="F96" s="86">
        <f>F55+F73+F83+F95</f>
        <v>0</v>
      </c>
      <c r="G96" s="86">
        <f>G55+G73+G95</f>
        <v>20000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2991697.09</v>
      </c>
      <c r="D101" s="24" t="s">
        <v>312</v>
      </c>
      <c r="E101" s="95">
        <f>('DOE25'!L268)+('DOE25'!L287)+('DOE25'!L306)</f>
        <v>103511.09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1112414.5299999998</v>
      </c>
      <c r="D102" s="24" t="s">
        <v>312</v>
      </c>
      <c r="E102" s="95">
        <f>('DOE25'!L269)+('DOE25'!L288)+('DOE25'!L307)</f>
        <v>5544.94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18153.27</v>
      </c>
      <c r="D104" s="24" t="s">
        <v>312</v>
      </c>
      <c r="E104" s="95">
        <f>+('DOE25'!L271)+('DOE25'!L290)+('DOE25'!L309)</f>
        <v>6185.43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4122264.8899999997</v>
      </c>
      <c r="D107" s="86">
        <f>SUM(D101:D106)</f>
        <v>0</v>
      </c>
      <c r="E107" s="86">
        <f>SUM(E101:E106)</f>
        <v>115241.45999999999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274091.82</v>
      </c>
      <c r="D110" s="24" t="s">
        <v>312</v>
      </c>
      <c r="E110" s="95">
        <f>+('DOE25'!L273)+('DOE25'!L292)+('DOE25'!L311)</f>
        <v>701.22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129282.01999999999</v>
      </c>
      <c r="D111" s="24" t="s">
        <v>312</v>
      </c>
      <c r="E111" s="95">
        <f>+('DOE25'!L274)+('DOE25'!L293)+('DOE25'!L312)</f>
        <v>253.69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258168.31</v>
      </c>
      <c r="D112" s="24" t="s">
        <v>312</v>
      </c>
      <c r="E112" s="95">
        <f>+('DOE25'!L275)+('DOE25'!L294)+('DOE25'!L313)</f>
        <v>96.05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179779.14</v>
      </c>
      <c r="D113" s="24" t="s">
        <v>312</v>
      </c>
      <c r="E113" s="95">
        <f>+('DOE25'!L276)+('DOE25'!L295)+('DOE25'!L314)</f>
        <v>3910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819</v>
      </c>
      <c r="D114" s="24" t="s">
        <v>312</v>
      </c>
      <c r="E114" s="95">
        <f>+('DOE25'!L277)+('DOE25'!L296)+('DOE25'!L315)</f>
        <v>2553.9699999999998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339609.3</v>
      </c>
      <c r="D115" s="24" t="s">
        <v>312</v>
      </c>
      <c r="E115" s="95">
        <f>+('DOE25'!L278)+('DOE25'!L297)+('DOE25'!L316)</f>
        <v>1747.02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189441.94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-225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109207.81999999999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1371191.5299999998</v>
      </c>
      <c r="D120" s="86">
        <f>SUM(D110:D119)</f>
        <v>109207.81999999999</v>
      </c>
      <c r="E120" s="86">
        <f>SUM(E110:E119)</f>
        <v>9036.9500000000007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164102.56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97861.17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115000</v>
      </c>
    </row>
    <row r="127" spans="1:7" x14ac:dyDescent="0.2">
      <c r="A127" t="s">
        <v>256</v>
      </c>
      <c r="B127" s="32" t="s">
        <v>257</v>
      </c>
      <c r="C127" s="95">
        <f>'DOE25'!L255</f>
        <v>29857.78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20000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311821.51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115000</v>
      </c>
    </row>
    <row r="137" spans="1:9" ht="12.75" thickTop="1" thickBot="1" x14ac:dyDescent="0.25">
      <c r="A137" s="33" t="s">
        <v>267</v>
      </c>
      <c r="C137" s="86">
        <f>(C107+C120+C136)</f>
        <v>5805277.9299999997</v>
      </c>
      <c r="D137" s="86">
        <f>(D107+D120+D136)</f>
        <v>109207.81999999999</v>
      </c>
      <c r="E137" s="86">
        <f>(E107+E120+E136)</f>
        <v>124278.40999999999</v>
      </c>
      <c r="F137" s="86">
        <f>(F107+F120+F136)</f>
        <v>0</v>
      </c>
      <c r="G137" s="86">
        <f>(G107+G120+G136)</f>
        <v>115000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6778-D6BC-4764-877F-722B548E7999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TAMWORTH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19417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19417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3095208</v>
      </c>
      <c r="D10" s="182">
        <f>ROUND((C10/$C$28)*100,1)</f>
        <v>53.4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1117959</v>
      </c>
      <c r="D11" s="182">
        <f>ROUND((C11/$C$28)*100,1)</f>
        <v>19.3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24339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274793</v>
      </c>
      <c r="D15" s="182">
        <f t="shared" ref="D15:D27" si="0">ROUND((C15/$C$28)*100,1)</f>
        <v>4.7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129536</v>
      </c>
      <c r="D16" s="182">
        <f t="shared" si="0"/>
        <v>2.2000000000000002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258039</v>
      </c>
      <c r="D17" s="182">
        <f t="shared" si="0"/>
        <v>4.5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183689</v>
      </c>
      <c r="D18" s="182">
        <f t="shared" si="0"/>
        <v>3.2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3373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341356</v>
      </c>
      <c r="D20" s="182">
        <f t="shared" si="0"/>
        <v>5.9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189442</v>
      </c>
      <c r="D21" s="182">
        <f t="shared" si="0"/>
        <v>3.3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97861</v>
      </c>
      <c r="D25" s="182">
        <f t="shared" si="0"/>
        <v>1.7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82785.38</v>
      </c>
      <c r="D27" s="182">
        <f t="shared" si="0"/>
        <v>1.4</v>
      </c>
    </row>
    <row r="28" spans="1:4" x14ac:dyDescent="0.2">
      <c r="B28" s="187" t="s">
        <v>754</v>
      </c>
      <c r="C28" s="180">
        <f>SUM(C10:C27)</f>
        <v>5798380.3799999999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5798380.3799999999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164103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4008701</v>
      </c>
      <c r="D35" s="182">
        <f t="shared" ref="D35:D40" si="1">ROUND((C35/$C$41)*100,1)</f>
        <v>70.8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39823.220000000205</v>
      </c>
      <c r="D36" s="182">
        <f t="shared" si="1"/>
        <v>0.7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1380402</v>
      </c>
      <c r="D37" s="182">
        <f t="shared" si="1"/>
        <v>24.4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148814</v>
      </c>
      <c r="D38" s="182">
        <f t="shared" si="1"/>
        <v>2.6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85955</v>
      </c>
      <c r="D39" s="182">
        <f t="shared" si="1"/>
        <v>1.5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5663695.2200000007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12C7-E42C-4F16-B67D-CEFDEF0EBEAA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TAMWORTH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5" t="s">
        <v>879</v>
      </c>
      <c r="B72" s="295"/>
      <c r="C72" s="295"/>
      <c r="D72" s="295"/>
      <c r="E72" s="29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30A" sheet="1" objects="1" scenarios="1"/>
  <mergeCells count="223">
    <mergeCell ref="C89:M89"/>
    <mergeCell ref="C90:M90"/>
    <mergeCell ref="C81:M81"/>
    <mergeCell ref="C82:M82"/>
    <mergeCell ref="C83:M83"/>
    <mergeCell ref="C84:M84"/>
    <mergeCell ref="C87:M87"/>
    <mergeCell ref="C88:M88"/>
    <mergeCell ref="C67:M67"/>
    <mergeCell ref="C68:M68"/>
    <mergeCell ref="C69:M69"/>
    <mergeCell ref="C70:M70"/>
    <mergeCell ref="C85:M85"/>
    <mergeCell ref="C74:M74"/>
    <mergeCell ref="C75:M75"/>
    <mergeCell ref="C76:M76"/>
    <mergeCell ref="C77:M77"/>
    <mergeCell ref="C78:M78"/>
    <mergeCell ref="C24:M24"/>
    <mergeCell ref="C86:M86"/>
    <mergeCell ref="C79:M79"/>
    <mergeCell ref="C80:M80"/>
    <mergeCell ref="C35:M35"/>
    <mergeCell ref="A72:E72"/>
    <mergeCell ref="C73:M73"/>
    <mergeCell ref="C65:M65"/>
    <mergeCell ref="C66:M66"/>
    <mergeCell ref="C47:M47"/>
    <mergeCell ref="C48:M48"/>
    <mergeCell ref="C49:M49"/>
    <mergeCell ref="C62:M62"/>
    <mergeCell ref="C63:M63"/>
    <mergeCell ref="C64:M64"/>
    <mergeCell ref="C28:M28"/>
    <mergeCell ref="C23:M23"/>
    <mergeCell ref="C42:M42"/>
    <mergeCell ref="C46:M46"/>
    <mergeCell ref="C52:M52"/>
    <mergeCell ref="C50:M50"/>
    <mergeCell ref="C12:M12"/>
    <mergeCell ref="C13:M13"/>
    <mergeCell ref="C34:M34"/>
    <mergeCell ref="C21:M21"/>
    <mergeCell ref="C20:M20"/>
    <mergeCell ref="C29:M29"/>
    <mergeCell ref="C25:M25"/>
    <mergeCell ref="C26:M26"/>
    <mergeCell ref="C27:M27"/>
    <mergeCell ref="C19:M19"/>
    <mergeCell ref="C36:M36"/>
    <mergeCell ref="C14:M14"/>
    <mergeCell ref="C15:M15"/>
    <mergeCell ref="C16:M16"/>
    <mergeCell ref="C17:M17"/>
    <mergeCell ref="C18:M18"/>
    <mergeCell ref="C22:M22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AP38:AZ38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FP32:FZ32"/>
    <mergeCell ref="GC38:GM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EP32:EZ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EP40:EZ40"/>
    <mergeCell ref="P40:Z40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2011-11-03T16:44:14Z</cp:lastPrinted>
  <dcterms:created xsi:type="dcterms:W3CDTF">1997-12-04T19:04:30Z</dcterms:created>
  <dcterms:modified xsi:type="dcterms:W3CDTF">2025-01-10T20:26:40Z</dcterms:modified>
</cp:coreProperties>
</file>