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549199E-510C-4A01-B538-A7C572BFAF7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F69564F-65E7-4A34-9C1F-CA6D5F4DC71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1" l="1"/>
  <c r="C37" i="10"/>
  <c r="C60" i="2"/>
  <c r="B2" i="13"/>
  <c r="F8" i="13"/>
  <c r="G8" i="13"/>
  <c r="L196" i="1"/>
  <c r="C17" i="10" s="1"/>
  <c r="L214" i="1"/>
  <c r="L232" i="1"/>
  <c r="D39" i="13"/>
  <c r="F13" i="13"/>
  <c r="G13" i="13"/>
  <c r="E13" i="13" s="1"/>
  <c r="C13" i="13" s="1"/>
  <c r="L198" i="1"/>
  <c r="L216" i="1"/>
  <c r="L234" i="1"/>
  <c r="F16" i="13"/>
  <c r="G16" i="13"/>
  <c r="L201" i="1"/>
  <c r="C117" i="2" s="1"/>
  <c r="L219" i="1"/>
  <c r="L237" i="1"/>
  <c r="E16" i="13"/>
  <c r="C16" i="13" s="1"/>
  <c r="F5" i="13"/>
  <c r="G5" i="13"/>
  <c r="D5" i="13" s="1"/>
  <c r="L189" i="1"/>
  <c r="L190" i="1"/>
  <c r="L191" i="1"/>
  <c r="L192" i="1"/>
  <c r="L203" i="1" s="1"/>
  <c r="L207" i="1"/>
  <c r="C101" i="2" s="1"/>
  <c r="L208" i="1"/>
  <c r="L209" i="1"/>
  <c r="L210" i="1"/>
  <c r="L225" i="1"/>
  <c r="L239" i="1" s="1"/>
  <c r="L226" i="1"/>
  <c r="C11" i="10" s="1"/>
  <c r="L227" i="1"/>
  <c r="L228" i="1"/>
  <c r="F6" i="13"/>
  <c r="G6" i="13"/>
  <c r="L194" i="1"/>
  <c r="L212" i="1"/>
  <c r="D6" i="13" s="1"/>
  <c r="C6" i="13" s="1"/>
  <c r="L230" i="1"/>
  <c r="F7" i="13"/>
  <c r="G7" i="13"/>
  <c r="L195" i="1"/>
  <c r="L213" i="1"/>
  <c r="L231" i="1"/>
  <c r="C16" i="10" s="1"/>
  <c r="F12" i="13"/>
  <c r="G12" i="13"/>
  <c r="L197" i="1"/>
  <c r="L215" i="1"/>
  <c r="C113" i="2" s="1"/>
  <c r="L233" i="1"/>
  <c r="F14" i="13"/>
  <c r="G14" i="13"/>
  <c r="L199" i="1"/>
  <c r="L217" i="1"/>
  <c r="L235" i="1"/>
  <c r="D14" i="13" s="1"/>
  <c r="C14" i="13" s="1"/>
  <c r="F15" i="13"/>
  <c r="G15" i="13"/>
  <c r="L200" i="1"/>
  <c r="L218" i="1"/>
  <c r="G652" i="1" s="1"/>
  <c r="L236" i="1"/>
  <c r="F17" i="13"/>
  <c r="G17" i="13"/>
  <c r="L243" i="1"/>
  <c r="D17" i="13"/>
  <c r="C17" i="13"/>
  <c r="F18" i="13"/>
  <c r="G18" i="13"/>
  <c r="D18" i="13" s="1"/>
  <c r="C18" i="13" s="1"/>
  <c r="L244" i="1"/>
  <c r="F19" i="13"/>
  <c r="G19" i="13"/>
  <c r="L245" i="1"/>
  <c r="C106" i="2" s="1"/>
  <c r="F29" i="13"/>
  <c r="G29" i="13"/>
  <c r="L350" i="1"/>
  <c r="D29" i="13" s="1"/>
  <c r="C29" i="13" s="1"/>
  <c r="L351" i="1"/>
  <c r="G651" i="1" s="1"/>
  <c r="L352" i="1"/>
  <c r="I359" i="1"/>
  <c r="I361" i="1" s="1"/>
  <c r="H624" i="1" s="1"/>
  <c r="J282" i="1"/>
  <c r="J301" i="1"/>
  <c r="J320" i="1"/>
  <c r="J330" i="1" s="1"/>
  <c r="J344" i="1" s="1"/>
  <c r="K282" i="1"/>
  <c r="K301" i="1"/>
  <c r="K320" i="1"/>
  <c r="G31" i="13"/>
  <c r="L268" i="1"/>
  <c r="L282" i="1" s="1"/>
  <c r="L269" i="1"/>
  <c r="L270" i="1"/>
  <c r="E103" i="2" s="1"/>
  <c r="L271" i="1"/>
  <c r="L273" i="1"/>
  <c r="L274" i="1"/>
  <c r="L275" i="1"/>
  <c r="L276" i="1"/>
  <c r="E113" i="2" s="1"/>
  <c r="L277" i="1"/>
  <c r="L278" i="1"/>
  <c r="L279" i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E110" i="2" s="1"/>
  <c r="L312" i="1"/>
  <c r="L313" i="1"/>
  <c r="L314" i="1"/>
  <c r="L315" i="1"/>
  <c r="L316" i="1"/>
  <c r="E115" i="2" s="1"/>
  <c r="L317" i="1"/>
  <c r="C21" i="10" s="1"/>
  <c r="L318" i="1"/>
  <c r="L325" i="1"/>
  <c r="E106" i="2" s="1"/>
  <c r="L326" i="1"/>
  <c r="L327" i="1"/>
  <c r="L252" i="1"/>
  <c r="H25" i="13" s="1"/>
  <c r="L253" i="1"/>
  <c r="L333" i="1"/>
  <c r="L334" i="1"/>
  <c r="L247" i="1"/>
  <c r="C122" i="2" s="1"/>
  <c r="L328" i="1"/>
  <c r="E122" i="2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A13" i="12" s="1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F2" i="11"/>
  <c r="L603" i="1"/>
  <c r="H653" i="1"/>
  <c r="L602" i="1"/>
  <c r="G653" i="1"/>
  <c r="I653" i="1" s="1"/>
  <c r="L601" i="1"/>
  <c r="F653" i="1"/>
  <c r="C40" i="10"/>
  <c r="F52" i="1"/>
  <c r="C48" i="2" s="1"/>
  <c r="G52" i="1"/>
  <c r="G104" i="1" s="1"/>
  <c r="H52" i="1"/>
  <c r="E48" i="2" s="1"/>
  <c r="I52" i="1"/>
  <c r="I104" i="1" s="1"/>
  <c r="F71" i="1"/>
  <c r="C49" i="2" s="1"/>
  <c r="F86" i="1"/>
  <c r="C50" i="2" s="1"/>
  <c r="F103" i="1"/>
  <c r="G103" i="1"/>
  <c r="H71" i="1"/>
  <c r="H86" i="1"/>
  <c r="E50" i="2" s="1"/>
  <c r="H103" i="1"/>
  <c r="H104" i="1"/>
  <c r="I103" i="1"/>
  <c r="J103" i="1"/>
  <c r="J104" i="1"/>
  <c r="J185" i="1" s="1"/>
  <c r="F113" i="1"/>
  <c r="F128" i="1"/>
  <c r="F132" i="1" s="1"/>
  <c r="G113" i="1"/>
  <c r="G128" i="1"/>
  <c r="G132" i="1"/>
  <c r="H113" i="1"/>
  <c r="H132" i="1" s="1"/>
  <c r="H185" i="1" s="1"/>
  <c r="G619" i="1" s="1"/>
  <c r="J619" i="1" s="1"/>
  <c r="H128" i="1"/>
  <c r="I113" i="1"/>
  <c r="I128" i="1"/>
  <c r="I132" i="1"/>
  <c r="I175" i="1"/>
  <c r="I184" i="1"/>
  <c r="H620" i="1"/>
  <c r="J113" i="1"/>
  <c r="J132" i="1" s="1"/>
  <c r="J128" i="1"/>
  <c r="F139" i="1"/>
  <c r="F154" i="1"/>
  <c r="F161" i="1"/>
  <c r="C39" i="10" s="1"/>
  <c r="G139" i="1"/>
  <c r="G154" i="1"/>
  <c r="G161" i="1" s="1"/>
  <c r="H139" i="1"/>
  <c r="H154" i="1"/>
  <c r="H161" i="1"/>
  <c r="I139" i="1"/>
  <c r="I161" i="1" s="1"/>
  <c r="I154" i="1"/>
  <c r="C12" i="10"/>
  <c r="C15" i="10"/>
  <c r="C19" i="10"/>
  <c r="L242" i="1"/>
  <c r="C105" i="2" s="1"/>
  <c r="L324" i="1"/>
  <c r="C23" i="10"/>
  <c r="L246" i="1"/>
  <c r="C116" i="2" s="1"/>
  <c r="C25" i="10"/>
  <c r="L260" i="1"/>
  <c r="L261" i="1"/>
  <c r="C26" i="10" s="1"/>
  <c r="L341" i="1"/>
  <c r="E134" i="2" s="1"/>
  <c r="L342" i="1"/>
  <c r="I655" i="1"/>
  <c r="I660" i="1"/>
  <c r="L221" i="1"/>
  <c r="G650" i="1" s="1"/>
  <c r="F652" i="1"/>
  <c r="I659" i="1"/>
  <c r="C6" i="10"/>
  <c r="C5" i="10"/>
  <c r="C42" i="10"/>
  <c r="C3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37" i="1"/>
  <c r="E127" i="2" s="1"/>
  <c r="L343" i="1"/>
  <c r="L338" i="1"/>
  <c r="L339" i="1"/>
  <c r="K343" i="1"/>
  <c r="L511" i="1"/>
  <c r="F539" i="1" s="1"/>
  <c r="L512" i="1"/>
  <c r="F540" i="1"/>
  <c r="L513" i="1"/>
  <c r="F541" i="1" s="1"/>
  <c r="L516" i="1"/>
  <c r="L519" i="1" s="1"/>
  <c r="G539" i="1"/>
  <c r="G542" i="1" s="1"/>
  <c r="L517" i="1"/>
  <c r="G540" i="1"/>
  <c r="L518" i="1"/>
  <c r="G541" i="1"/>
  <c r="L521" i="1"/>
  <c r="H539" i="1"/>
  <c r="L522" i="1"/>
  <c r="L524" i="1" s="1"/>
  <c r="L523" i="1"/>
  <c r="H541" i="1"/>
  <c r="L526" i="1"/>
  <c r="I539" i="1" s="1"/>
  <c r="L527" i="1"/>
  <c r="I540" i="1" s="1"/>
  <c r="L528" i="1"/>
  <c r="I541" i="1" s="1"/>
  <c r="L531" i="1"/>
  <c r="J539" i="1" s="1"/>
  <c r="L532" i="1"/>
  <c r="J540" i="1" s="1"/>
  <c r="L533" i="1"/>
  <c r="L534" i="1" s="1"/>
  <c r="J541" i="1"/>
  <c r="E124" i="2"/>
  <c r="E123" i="2"/>
  <c r="K262" i="1"/>
  <c r="J262" i="1"/>
  <c r="I262" i="1"/>
  <c r="H262" i="1"/>
  <c r="G262" i="1"/>
  <c r="F262" i="1"/>
  <c r="C124" i="2"/>
  <c r="A1" i="2"/>
  <c r="A2" i="2"/>
  <c r="C9" i="2"/>
  <c r="D9" i="2"/>
  <c r="D19" i="2" s="1"/>
  <c r="E9" i="2"/>
  <c r="F9" i="2"/>
  <c r="I431" i="1"/>
  <c r="J9" i="1"/>
  <c r="C10" i="2"/>
  <c r="D10" i="2"/>
  <c r="E10" i="2"/>
  <c r="F10" i="2"/>
  <c r="I432" i="1"/>
  <c r="J10" i="1"/>
  <c r="G10" i="2" s="1"/>
  <c r="C11" i="2"/>
  <c r="C19" i="2" s="1"/>
  <c r="C12" i="2"/>
  <c r="D12" i="2"/>
  <c r="E12" i="2"/>
  <c r="F12" i="2"/>
  <c r="F19" i="2" s="1"/>
  <c r="I433" i="1"/>
  <c r="J12" i="1"/>
  <c r="G12" i="2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E32" i="2" s="1"/>
  <c r="F22" i="2"/>
  <c r="I440" i="1"/>
  <c r="J23" i="1"/>
  <c r="G22" i="2" s="1"/>
  <c r="C23" i="2"/>
  <c r="D23" i="2"/>
  <c r="E23" i="2"/>
  <c r="F23" i="2"/>
  <c r="I441" i="1"/>
  <c r="I444" i="1" s="1"/>
  <c r="I451" i="1" s="1"/>
  <c r="H632" i="1" s="1"/>
  <c r="J24" i="1"/>
  <c r="G23" i="2" s="1"/>
  <c r="C24" i="2"/>
  <c r="D24" i="2"/>
  <c r="D32" i="2" s="1"/>
  <c r="E24" i="2"/>
  <c r="F24" i="2"/>
  <c r="I442" i="1"/>
  <c r="J25" i="1" s="1"/>
  <c r="G24" i="2" s="1"/>
  <c r="C25" i="2"/>
  <c r="D25" i="2"/>
  <c r="E25" i="2"/>
  <c r="F25" i="2"/>
  <c r="C26" i="2"/>
  <c r="F26" i="2"/>
  <c r="C27" i="2"/>
  <c r="C32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E34" i="2"/>
  <c r="E42" i="2" s="1"/>
  <c r="F34" i="2"/>
  <c r="C35" i="2"/>
  <c r="C42" i="2" s="1"/>
  <c r="C43" i="2" s="1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 s="1"/>
  <c r="F43" i="2" s="1"/>
  <c r="F48" i="2"/>
  <c r="E49" i="2"/>
  <c r="C51" i="2"/>
  <c r="D51" i="2"/>
  <c r="D54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E62" i="2" s="1"/>
  <c r="F61" i="2"/>
  <c r="F62" i="2" s="1"/>
  <c r="G61" i="2"/>
  <c r="G62" i="2"/>
  <c r="D62" i="2"/>
  <c r="C64" i="2"/>
  <c r="F64" i="2"/>
  <c r="F70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C70" i="2"/>
  <c r="C73" i="2" s="1"/>
  <c r="G70" i="2"/>
  <c r="C71" i="2"/>
  <c r="D71" i="2"/>
  <c r="E71" i="2"/>
  <c r="C72" i="2"/>
  <c r="E72" i="2"/>
  <c r="C77" i="2"/>
  <c r="D77" i="2"/>
  <c r="E77" i="2"/>
  <c r="E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C86" i="2"/>
  <c r="F86" i="2"/>
  <c r="D88" i="2"/>
  <c r="E88" i="2"/>
  <c r="F88" i="2"/>
  <c r="G88" i="2"/>
  <c r="G95" i="2" s="1"/>
  <c r="C89" i="2"/>
  <c r="C95" i="2" s="1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F95" i="2" s="1"/>
  <c r="C92" i="2"/>
  <c r="D92" i="2"/>
  <c r="D95" i="2" s="1"/>
  <c r="E92" i="2"/>
  <c r="F92" i="2"/>
  <c r="C93" i="2"/>
  <c r="D93" i="2"/>
  <c r="E93" i="2"/>
  <c r="E94" i="2"/>
  <c r="F93" i="2"/>
  <c r="C94" i="2"/>
  <c r="D94" i="2"/>
  <c r="F94" i="2"/>
  <c r="C103" i="2"/>
  <c r="E104" i="2"/>
  <c r="E105" i="2"/>
  <c r="D107" i="2"/>
  <c r="F107" i="2"/>
  <c r="G107" i="2"/>
  <c r="G137" i="2" s="1"/>
  <c r="C110" i="2"/>
  <c r="E111" i="2"/>
  <c r="E112" i="2"/>
  <c r="C114" i="2"/>
  <c r="E114" i="2"/>
  <c r="E116" i="2"/>
  <c r="F120" i="2"/>
  <c r="G120" i="2"/>
  <c r="D126" i="2"/>
  <c r="E126" i="2"/>
  <c r="F126" i="2"/>
  <c r="K411" i="1"/>
  <c r="K426" i="1"/>
  <c r="G126" i="2" s="1"/>
  <c r="G136" i="2" s="1"/>
  <c r="K419" i="1"/>
  <c r="K425" i="1"/>
  <c r="L255" i="1"/>
  <c r="C127" i="2" s="1"/>
  <c r="L256" i="1"/>
  <c r="C128" i="2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G608" i="1" s="1"/>
  <c r="H19" i="1"/>
  <c r="G609" i="1" s="1"/>
  <c r="J609" i="1" s="1"/>
  <c r="I19" i="1"/>
  <c r="F33" i="1"/>
  <c r="G33" i="1"/>
  <c r="H33" i="1"/>
  <c r="I33" i="1"/>
  <c r="I44" i="1" s="1"/>
  <c r="H610" i="1" s="1"/>
  <c r="J610" i="1" s="1"/>
  <c r="F43" i="1"/>
  <c r="F44" i="1" s="1"/>
  <c r="H607" i="1" s="1"/>
  <c r="G43" i="1"/>
  <c r="G613" i="1" s="1"/>
  <c r="H43" i="1"/>
  <c r="H44" i="1"/>
  <c r="H609" i="1"/>
  <c r="I43" i="1"/>
  <c r="G44" i="1"/>
  <c r="H608" i="1" s="1"/>
  <c r="F169" i="1"/>
  <c r="I169" i="1"/>
  <c r="F175" i="1"/>
  <c r="F184" i="1" s="1"/>
  <c r="G175" i="1"/>
  <c r="H175" i="1"/>
  <c r="H184" i="1" s="1"/>
  <c r="J175" i="1"/>
  <c r="G635" i="1" s="1"/>
  <c r="J635" i="1" s="1"/>
  <c r="J184" i="1"/>
  <c r="F180" i="1"/>
  <c r="G180" i="1"/>
  <c r="H180" i="1"/>
  <c r="I180" i="1"/>
  <c r="G184" i="1"/>
  <c r="F203" i="1"/>
  <c r="F249" i="1" s="1"/>
  <c r="F263" i="1" s="1"/>
  <c r="G203" i="1"/>
  <c r="G249" i="1" s="1"/>
  <c r="G263" i="1" s="1"/>
  <c r="H203" i="1"/>
  <c r="H249" i="1" s="1"/>
  <c r="H263" i="1" s="1"/>
  <c r="I203" i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I249" i="1" s="1"/>
  <c r="I263" i="1" s="1"/>
  <c r="J248" i="1"/>
  <c r="K248" i="1"/>
  <c r="L262" i="1"/>
  <c r="F282" i="1"/>
  <c r="G282" i="1"/>
  <c r="G330" i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I385" i="1"/>
  <c r="F393" i="1"/>
  <c r="G393" i="1"/>
  <c r="G400" i="1" s="1"/>
  <c r="H635" i="1" s="1"/>
  <c r="H393" i="1"/>
  <c r="I393" i="1"/>
  <c r="I400" i="1" s="1"/>
  <c r="F399" i="1"/>
  <c r="G399" i="1"/>
  <c r="H399" i="1"/>
  <c r="I399" i="1"/>
  <c r="H400" i="1"/>
  <c r="H634" i="1" s="1"/>
  <c r="L405" i="1"/>
  <c r="L406" i="1"/>
  <c r="L407" i="1"/>
  <c r="L408" i="1"/>
  <c r="L409" i="1"/>
  <c r="L410" i="1"/>
  <c r="L411" i="1" s="1"/>
  <c r="F411" i="1"/>
  <c r="F426" i="1" s="1"/>
  <c r="G411" i="1"/>
  <c r="H411" i="1"/>
  <c r="H426" i="1" s="1"/>
  <c r="I411" i="1"/>
  <c r="J411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5" i="1"/>
  <c r="L422" i="1"/>
  <c r="L423" i="1"/>
  <c r="L424" i="1"/>
  <c r="F425" i="1"/>
  <c r="G425" i="1"/>
  <c r="G426" i="1" s="1"/>
  <c r="H425" i="1"/>
  <c r="I425" i="1"/>
  <c r="J425" i="1"/>
  <c r="J426" i="1" s="1"/>
  <c r="I426" i="1"/>
  <c r="F438" i="1"/>
  <c r="G629" i="1" s="1"/>
  <c r="J629" i="1" s="1"/>
  <c r="G438" i="1"/>
  <c r="H438" i="1"/>
  <c r="F444" i="1"/>
  <c r="F451" i="1" s="1"/>
  <c r="H629" i="1" s="1"/>
  <c r="G444" i="1"/>
  <c r="H444" i="1"/>
  <c r="H451" i="1" s="1"/>
  <c r="H631" i="1" s="1"/>
  <c r="J631" i="1" s="1"/>
  <c r="F450" i="1"/>
  <c r="G450" i="1"/>
  <c r="H450" i="1"/>
  <c r="G451" i="1"/>
  <c r="F460" i="1"/>
  <c r="F466" i="1" s="1"/>
  <c r="H612" i="1" s="1"/>
  <c r="G460" i="1"/>
  <c r="H460" i="1"/>
  <c r="H466" i="1" s="1"/>
  <c r="H614" i="1" s="1"/>
  <c r="J614" i="1" s="1"/>
  <c r="I460" i="1"/>
  <c r="J460" i="1"/>
  <c r="F464" i="1"/>
  <c r="G464" i="1"/>
  <c r="G466" i="1" s="1"/>
  <c r="H613" i="1" s="1"/>
  <c r="H464" i="1"/>
  <c r="I464" i="1"/>
  <c r="I466" i="1"/>
  <c r="H615" i="1" s="1"/>
  <c r="J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K535" i="1" s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/>
  <c r="L548" i="1"/>
  <c r="L549" i="1"/>
  <c r="F550" i="1"/>
  <c r="G550" i="1"/>
  <c r="H550" i="1"/>
  <c r="H561" i="1" s="1"/>
  <c r="I550" i="1"/>
  <c r="J550" i="1"/>
  <c r="K550" i="1"/>
  <c r="K561" i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58" i="1"/>
  <c r="L560" i="1"/>
  <c r="L559" i="1"/>
  <c r="F560" i="1"/>
  <c r="G560" i="1"/>
  <c r="H560" i="1"/>
  <c r="I560" i="1"/>
  <c r="I561" i="1" s="1"/>
  <c r="J560" i="1"/>
  <c r="K560" i="1"/>
  <c r="F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4" i="1"/>
  <c r="G615" i="1"/>
  <c r="H617" i="1"/>
  <c r="H618" i="1"/>
  <c r="H619" i="1"/>
  <c r="H621" i="1"/>
  <c r="H622" i="1"/>
  <c r="H623" i="1"/>
  <c r="H625" i="1"/>
  <c r="H626" i="1"/>
  <c r="H627" i="1"/>
  <c r="H628" i="1"/>
  <c r="G630" i="1"/>
  <c r="J630" i="1" s="1"/>
  <c r="H630" i="1"/>
  <c r="G631" i="1"/>
  <c r="G633" i="1"/>
  <c r="G634" i="1"/>
  <c r="H637" i="1"/>
  <c r="G639" i="1"/>
  <c r="H639" i="1"/>
  <c r="J639" i="1" s="1"/>
  <c r="G640" i="1"/>
  <c r="J640" i="1" s="1"/>
  <c r="G641" i="1"/>
  <c r="J641" i="1" s="1"/>
  <c r="H641" i="1"/>
  <c r="G642" i="1"/>
  <c r="J642" i="1" s="1"/>
  <c r="H642" i="1"/>
  <c r="G643" i="1"/>
  <c r="H643" i="1"/>
  <c r="J643" i="1" s="1"/>
  <c r="G644" i="1"/>
  <c r="J644" i="1" s="1"/>
  <c r="H644" i="1"/>
  <c r="G645" i="1"/>
  <c r="J645" i="1" s="1"/>
  <c r="H645" i="1"/>
  <c r="F32" i="2"/>
  <c r="G73" i="2"/>
  <c r="D15" i="13"/>
  <c r="C15" i="13"/>
  <c r="G37" i="2"/>
  <c r="G9" i="2"/>
  <c r="H535" i="1"/>
  <c r="F535" i="1"/>
  <c r="J542" i="1" l="1"/>
  <c r="C5" i="13"/>
  <c r="J607" i="1"/>
  <c r="G153" i="2"/>
  <c r="I542" i="1"/>
  <c r="K541" i="1"/>
  <c r="G654" i="1"/>
  <c r="H650" i="1"/>
  <c r="G42" i="2"/>
  <c r="G43" i="2" s="1"/>
  <c r="E43" i="2"/>
  <c r="J19" i="1"/>
  <c r="G611" i="1" s="1"/>
  <c r="H638" i="1"/>
  <c r="J638" i="1" s="1"/>
  <c r="J263" i="1"/>
  <c r="E136" i="2"/>
  <c r="L426" i="1"/>
  <c r="G628" i="1" s="1"/>
  <c r="J628" i="1" s="1"/>
  <c r="E54" i="2"/>
  <c r="J43" i="1"/>
  <c r="D43" i="2"/>
  <c r="C38" i="10"/>
  <c r="C54" i="2"/>
  <c r="C55" i="2" s="1"/>
  <c r="C96" i="2" s="1"/>
  <c r="J634" i="1"/>
  <c r="L561" i="1"/>
  <c r="J613" i="1"/>
  <c r="F55" i="2"/>
  <c r="F542" i="1"/>
  <c r="K539" i="1"/>
  <c r="I185" i="1"/>
  <c r="G620" i="1" s="1"/>
  <c r="J620" i="1" s="1"/>
  <c r="E120" i="2"/>
  <c r="H542" i="1"/>
  <c r="G636" i="1"/>
  <c r="G621" i="1"/>
  <c r="J621" i="1" s="1"/>
  <c r="E55" i="2"/>
  <c r="E96" i="2" s="1"/>
  <c r="C25" i="13"/>
  <c r="H33" i="13"/>
  <c r="G32" i="2"/>
  <c r="G185" i="1"/>
  <c r="G618" i="1" s="1"/>
  <c r="J618" i="1" s="1"/>
  <c r="G96" i="2"/>
  <c r="F650" i="1"/>
  <c r="L249" i="1"/>
  <c r="L263" i="1" s="1"/>
  <c r="G622" i="1" s="1"/>
  <c r="J622" i="1" s="1"/>
  <c r="L535" i="1"/>
  <c r="D137" i="2"/>
  <c r="F73" i="2"/>
  <c r="L400" i="1"/>
  <c r="J608" i="1"/>
  <c r="G19" i="2"/>
  <c r="D31" i="13"/>
  <c r="C31" i="13" s="1"/>
  <c r="L330" i="1"/>
  <c r="L344" i="1" s="1"/>
  <c r="G623" i="1" s="1"/>
  <c r="J623" i="1" s="1"/>
  <c r="D119" i="2"/>
  <c r="D120" i="2" s="1"/>
  <c r="H652" i="1"/>
  <c r="I652" i="1" s="1"/>
  <c r="F104" i="1"/>
  <c r="F185" i="1" s="1"/>
  <c r="G617" i="1" s="1"/>
  <c r="J617" i="1" s="1"/>
  <c r="D12" i="13"/>
  <c r="C12" i="13" s="1"/>
  <c r="G612" i="1"/>
  <c r="J612" i="1" s="1"/>
  <c r="B156" i="2"/>
  <c r="G156" i="2" s="1"/>
  <c r="C112" i="2"/>
  <c r="F77" i="2"/>
  <c r="F83" i="2" s="1"/>
  <c r="C24" i="10"/>
  <c r="C13" i="10"/>
  <c r="C130" i="2"/>
  <c r="C133" i="2" s="1"/>
  <c r="F22" i="13"/>
  <c r="J33" i="1"/>
  <c r="C104" i="2"/>
  <c r="C123" i="2"/>
  <c r="C136" i="2" s="1"/>
  <c r="C10" i="10"/>
  <c r="C35" i="10"/>
  <c r="F122" i="2"/>
  <c r="F136" i="2" s="1"/>
  <c r="F137" i="2" s="1"/>
  <c r="H540" i="1"/>
  <c r="K540" i="1" s="1"/>
  <c r="F651" i="1"/>
  <c r="L354" i="1"/>
  <c r="F330" i="1"/>
  <c r="F344" i="1" s="1"/>
  <c r="C29" i="10"/>
  <c r="I438" i="1"/>
  <c r="G632" i="1" s="1"/>
  <c r="J632" i="1" s="1"/>
  <c r="C111" i="2"/>
  <c r="C115" i="2"/>
  <c r="E102" i="2"/>
  <c r="C20" i="10"/>
  <c r="F31" i="13"/>
  <c r="D19" i="13"/>
  <c r="C19" i="13" s="1"/>
  <c r="C102" i="2"/>
  <c r="C107" i="2" s="1"/>
  <c r="H651" i="1"/>
  <c r="D7" i="13"/>
  <c r="C7" i="13" s="1"/>
  <c r="E8" i="13"/>
  <c r="E101" i="2"/>
  <c r="C18" i="10"/>
  <c r="G33" i="13"/>
  <c r="D48" i="2"/>
  <c r="D55" i="2" s="1"/>
  <c r="D96" i="2" s="1"/>
  <c r="H636" i="1" l="1"/>
  <c r="G627" i="1"/>
  <c r="J627" i="1" s="1"/>
  <c r="C36" i="10"/>
  <c r="C41" i="10"/>
  <c r="C28" i="10"/>
  <c r="D10" i="10"/>
  <c r="C120" i="2"/>
  <c r="C137" i="2" s="1"/>
  <c r="J611" i="1"/>
  <c r="D33" i="13"/>
  <c r="D36" i="13" s="1"/>
  <c r="D18" i="10"/>
  <c r="C22" i="13"/>
  <c r="F33" i="13"/>
  <c r="F654" i="1"/>
  <c r="I650" i="1"/>
  <c r="I654" i="1" s="1"/>
  <c r="D20" i="10"/>
  <c r="E107" i="2"/>
  <c r="E137" i="2" s="1"/>
  <c r="E33" i="13"/>
  <c r="D35" i="13" s="1"/>
  <c r="C8" i="13"/>
  <c r="D13" i="10"/>
  <c r="K542" i="1"/>
  <c r="J44" i="1"/>
  <c r="H611" i="1" s="1"/>
  <c r="G616" i="1"/>
  <c r="J636" i="1"/>
  <c r="C27" i="10"/>
  <c r="G625" i="1"/>
  <c r="J625" i="1" s="1"/>
  <c r="D24" i="10"/>
  <c r="H654" i="1"/>
  <c r="D38" i="10"/>
  <c r="I651" i="1"/>
  <c r="F96" i="2"/>
  <c r="G662" i="1"/>
  <c r="G657" i="1"/>
  <c r="J616" i="1" l="1"/>
  <c r="H646" i="1"/>
  <c r="C30" i="10"/>
  <c r="D22" i="10"/>
  <c r="D19" i="10"/>
  <c r="D15" i="10"/>
  <c r="D26" i="10"/>
  <c r="D16" i="10"/>
  <c r="D23" i="10"/>
  <c r="D11" i="10"/>
  <c r="D28" i="10" s="1"/>
  <c r="D25" i="10"/>
  <c r="D21" i="10"/>
  <c r="D12" i="10"/>
  <c r="D17" i="10"/>
  <c r="D37" i="10"/>
  <c r="D40" i="10"/>
  <c r="D39" i="10"/>
  <c r="H662" i="1"/>
  <c r="H657" i="1"/>
  <c r="D35" i="10"/>
  <c r="I657" i="1"/>
  <c r="I662" i="1"/>
  <c r="C7" i="10" s="1"/>
  <c r="F662" i="1"/>
  <c r="C4" i="10" s="1"/>
  <c r="F657" i="1"/>
  <c r="D27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BE01221-6E67-4921-B5E6-622B43D3527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3FB144C-6418-4363-9A6A-57D29FA1119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BE42607-0F43-4807-914E-05A6F684153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CDDF4ED-78ED-4017-97F5-AD5FBEC3917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6A0D138-9B52-455A-BF85-764CB900930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A4BCC73-C64E-4227-B18A-C5C15D6DA4B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63D5E19-7D02-465D-B7C2-74D1A5DC5A9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9FA4F56-58B3-4DF0-AA8A-877B9AFF161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BD7D6D9-2EF9-4CDC-B282-4EF3CA35EC9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D6DB73A-2AEB-408D-85E1-BC0978312D0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D8948BE-AC80-488F-9402-DB2C5311802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47D30DD-D87D-4495-AE34-F0961C1F00C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<sst xmlns="http://schemas.openxmlformats.org/spreadsheetml/2006/main" count="3862" uniqueCount="899">
  <si>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</si>
  <si>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</si>
  <si>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</si>
  <si>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</si>
  <si>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</si>
  <si>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</si>
  <si>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</si>
  <si>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</si>
  <si>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</si>
  <si>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</si>
  <si>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</si>
  <si>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</si>
  <si>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</si>
  <si>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</si>
  <si>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</si>
  <si>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</si>
  <si>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</si>
  <si>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</si>
  <si>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</si>
  <si>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</si>
  <si>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</si>
  <si>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</si>
  <si>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</si>
  <si>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</si>
  <si>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</si>
  <si>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</si>
  <si>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</si>
  <si>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</si>
  <si>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</si>
  <si>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</si>
  <si>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</si>
  <si>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</si>
  <si>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</si>
  <si>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</si>
  <si>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</si>
  <si>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</si>
  <si>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</si>
  <si>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</si>
  <si>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</si>
  <si>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</si>
  <si>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</si>
  <si>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</si>
  <si>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</si>
  <si>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</si>
  <si>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</si>
  <si>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</si>
  <si>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</si>
  <si>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</si>
  <si>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</si>
  <si>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</si>
  <si>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</si>
  <si>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</si>
  <si>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</si>
  <si>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</si>
  <si>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</si>
  <si>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</si>
  <si>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</si>
  <si>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</si>
  <si>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</si>
  <si>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</si>
  <si>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</si>
  <si>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</si>
  <si>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</si>
  <si>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</si>
  <si>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</si>
  <si>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</si>
  <si>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</si>
  <si>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</si>
  <si>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</si>
  <si>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</si>
  <si>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</si>
  <si>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</si>
  <si>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</si>
  <si>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</si>
  <si>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</si>
  <si>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</si>
  <si>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</si>
  <si>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</si>
  <si>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</si>
  <si>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</si>
  <si>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</si>
  <si>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</si>
  <si>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</si>
  <si>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</si>
  <si>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</si>
  <si>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</si>
  <si>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</si>
  <si>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</si>
  <si>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</si>
  <si>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</si>
  <si>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</si>
  <si>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</si>
  <si>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</si>
  <si>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</si>
  <si>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</si>
  <si>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</si>
  <si>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</si>
  <si>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</si>
  <si>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</si>
  <si>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</si>
  <si>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</si>
  <si>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</si>
  <si>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</si>
  <si>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</si>
  <si>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</si>
  <si>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</si>
  <si>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</si>
  <si>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</si>
  <si>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</si>
  <si>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</si>
  <si>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</si>
  <si>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</si>
  <si>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</si>
  <si>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</si>
  <si>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</si>
  <si>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</si>
  <si>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</si>
  <si>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</si>
  <si>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</si>
  <si>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</si>
  <si>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</si>
  <si>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</si>
  <si>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</si>
  <si>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</si>
  <si>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</si>
  <si>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</si>
  <si>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</si>
  <si>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</si>
  <si>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</si>
  <si>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</si>
  <si>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</si>
  <si>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</si>
  <si>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</si>
  <si>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</si>
  <si>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</si>
  <si>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</si>
  <si>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</si>
  <si>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</si>
  <si>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</si>
  <si>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</si>
  <si>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</si>
  <si>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</si>
  <si>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</si>
  <si>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</si>
  <si>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</si>
  <si>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</si>
  <si>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</si>
  <si>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</si>
  <si>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</si>
  <si>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</si>
  <si>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</si>
  <si>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</si>
  <si>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</si>
  <si>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</si>
  <si>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</si>
  <si>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</si>
  <si>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</si>
  <si>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</si>
  <si>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</si>
  <si>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</si>
  <si>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</si>
  <si>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</si>
  <si>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</si>
  <si>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</si>
  <si>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</si>
  <si>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</si>
  <si>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</si>
  <si>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</si>
  <si>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</si>
  <si>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</si>
  <si>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</si>
  <si>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</si>
  <si>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</si>
  <si>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</si>
  <si>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</si>
  <si>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</si>
  <si>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</si>
  <si>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</si>
  <si>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</si>
  <si>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</si>
  <si>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</si>
  <si>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</si>
  <si>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</si>
  <si>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</si>
  <si>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</si>
  <si>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</si>
  <si>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</si>
  <si>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</si>
  <si>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</si>
  <si>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</si>
  <si>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</si>
  <si>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</si>
  <si>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</si>
  <si>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</si>
  <si>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</si>
  <si>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</si>
  <si>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</si>
  <si>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</si>
  <si>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</si>
  <si>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</si>
  <si>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</si>
  <si>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</si>
  <si>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</si>
  <si>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</si>
  <si>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</si>
  <si>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</si>
  <si>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</si>
  <si>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</si>
  <si>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</si>
  <si>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</si>
  <si>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</si>
  <si>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</si>
  <si>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</si>
  <si>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</si>
  <si>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</si>
  <si>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</si>
  <si>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</si>
  <si>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</si>
  <si>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</si>
  <si>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</si>
  <si>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</si>
  <si>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</si>
  <si>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</si>
  <si>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</si>
  <si>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</si>
  <si>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</si>
  <si>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</si>
  <si>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</si>
  <si>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</si>
  <si>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</si>
  <si>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</si>
  <si>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</si>
  <si>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</si>
  <si>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</si>
  <si>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</si>
  <si>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</si>
  <si>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</si>
  <si>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</si>
  <si>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</si>
  <si>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</si>
  <si>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</si>
  <si>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</si>
  <si>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</si>
  <si>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</si>
  <si>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</si>
  <si>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</si>
  <si>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</si>
  <si>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</si>
  <si>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</si>
  <si>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</si>
  <si>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</si>
  <si>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</si>
  <si>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</si>
  <si>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</si>
  <si>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</si>
  <si>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</si>
  <si>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</si>
  <si>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</si>
  <si>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</si>
  <si>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</si>
  <si>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</si>
  <si>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</si>
  <si>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</si>
  <si>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</si>
  <si>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</si>
  <si>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</si>
  <si>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</si>
  <si>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</si>
  <si>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</si>
  <si>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</si>
  <si>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</si>
  <si>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</si>
  <si>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</si>
  <si>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</si>
  <si>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</si>
  <si>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</si>
  <si>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</si>
  <si>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</si>
  <si>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</si>
  <si>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</si>
  <si>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</si>
  <si>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</si>
  <si>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</si>
  <si>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</si>
  <si>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</si>
  <si>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</si>
  <si>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</si>
  <si>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</si>
  <si>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</si>
  <si>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</si>
  <si>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</si>
  <si>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</si>
  <si>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</si>
  <si>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</si>
  <si>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</si>
  <si>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</si>
  <si>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</si>
  <si>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</si>
  <si>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</si>
  <si>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</si>
  <si>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</si>
  <si>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</si>
  <si>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</si>
  <si>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</si>
  <si>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</si>
  <si>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</si>
  <si>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</si>
  <si>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</si>
  <si>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</si>
  <si>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</si>
  <si>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</si>
  <si>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</si>
  <si>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</si>
  <si>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</si>
  <si>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</si>
  <si>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</si>
  <si>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</si>
  <si>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</si>
  <si>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</si>
  <si>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</si>
  <si>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</si>
  <si>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</si>
  <si>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</si>
  <si>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</si>
  <si>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</si>
  <si>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</si>
  <si>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</si>
  <si>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</si>
  <si>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</si>
  <si>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</si>
  <si>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</si>
  <si>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</si>
  <si>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</si>
  <si>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</si>
  <si>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</si>
  <si>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</si>
  <si>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</si>
  <si>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</si>
  <si>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</si>
  <si>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</si>
  <si>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</si>
  <si>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</si>
  <si>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</si>
  <si>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</si>
  <si>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</si>
  <si>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</si>
  <si>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</si>
  <si>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</si>
  <si>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</si>
  <si>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</si>
  <si>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</si>
  <si>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</si>
  <si>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</si>
  <si>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</si>
  <si>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</si>
  <si>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</si>
  <si>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</si>
  <si>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</si>
  <si>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</si>
  <si>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</si>
  <si>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</si>
  <si>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</si>
  <si>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</si>
  <si>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</si>
  <si>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</si>
  <si>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</si>
  <si>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</si>
  <si>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</si>
  <si>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</si>
  <si>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</si>
  <si>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</si>
  <si>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</si>
  <si>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</si>
  <si>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</si>
  <si>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</si>
  <si>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</si>
  <si>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</si>
  <si>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</si>
  <si>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</si>
  <si>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</si>
  <si>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</si>
  <si>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</si>
  <si>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</si>
  <si>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</si>
  <si>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</si>
  <si>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</si>
  <si>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</si>
  <si>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</si>
  <si>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</si>
  <si>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</si>
  <si>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</si>
  <si>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</si>
  <si>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</si>
  <si>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</si>
  <si>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</si>
  <si>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</si>
  <si>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</si>
  <si>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</si>
  <si>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</si>
  <si>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</si>
  <si>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</si>
  <si>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</si>
  <si>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</si>
  <si>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</si>
  <si>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</si>
  <si>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</si>
  <si>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</si>
  <si>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</si>
  <si>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</si>
  <si>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</si>
  <si>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</si>
  <si>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</si>
  <si>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</si>
  <si>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</si>
  <si>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</si>
  <si>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</si>
  <si>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</si>
  <si>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</si>
  <si>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</si>
  <si>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</si>
  <si>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</si>
  <si>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</si>
  <si>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</si>
  <si>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</si>
  <si>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</si>
  <si>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</si>
  <si>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</si>
  <si>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</si>
  <si>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</si>
  <si>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</si>
  <si>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</si>
  <si>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</si>
  <si>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</si>
  <si>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</si>
  <si>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</si>
  <si>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</si>
  <si>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</si>
  <si>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</si>
  <si>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</si>
  <si>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</si>
  <si>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</si>
  <si>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</si>
  <si>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</si>
  <si>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</si>
  <si>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</si>
  <si>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</si>
  <si>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</si>
  <si>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</si>
  <si>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</si>
  <si>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</si>
  <si>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</si>
  <si>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</si>
  <si>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</si>
  <si>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</si>
  <si>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</si>
  <si>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</si>
  <si>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</si>
  <si>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</si>
  <si>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</si>
  <si>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</si>
  <si>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</si>
  <si>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</si>
  <si>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</si>
  <si>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</si>
  <si>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</si>
  <si>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</si>
  <si>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</si>
  <si>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</si>
  <si>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</si>
  <si>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</si>
  <si>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</si>
  <si>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</si>
  <si>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</si>
  <si>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</si>
  <si>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</si>
  <si>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</si>
  <si>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</si>
  <si>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</si>
  <si>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</si>
  <si>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</si>
  <si>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</si>
  <si>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</si>
  <si>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</si>
  <si>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</si>
  <si>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</si>
  <si>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</si>
  <si>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</si>
  <si>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</si>
  <si>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</si>
  <si>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</si>
  <si>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</si>
  <si>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</si>
  <si>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</si>
  <si>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</si>
  <si>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</si>
  <si>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</si>
  <si>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</si>
  <si>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</si>
  <si>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</si>
  <si>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</si>
  <si>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</si>
  <si>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</si>
  <si>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</si>
  <si>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</si>
  <si>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</si>
  <si>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</si>
  <si>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</si>
  <si>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</si>
  <si>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</si>
  <si>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</si>
  <si>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</si>
  <si>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</si>
  <si>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</si>
  <si>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</si>
  <si>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</si>
  <si>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</si>
  <si>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</si>
  <si>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</si>
  <si>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</si>
  <si>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</si>
  <si>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</si>
  <si>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</si>
  <si>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</si>
  <si>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</si>
  <si>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</si>
  <si>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</si>
  <si>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</si>
  <si>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</si>
  <si>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</si>
  <si>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</si>
  <si>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</si>
  <si>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</si>
  <si>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</si>
  <si>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</si>
  <si>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</si>
  <si>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</si>
  <si>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</si>
  <si>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</si>
  <si>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</si>
  <si>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</si>
  <si>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</si>
  <si>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</si>
  <si>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</si>
  <si>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</si>
  <si>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</si>
  <si>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</si>
  <si>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</si>
  <si>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</si>
  <si>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</si>
  <si>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</si>
  <si>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</si>
  <si>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</si>
  <si>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</si>
  <si>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</si>
  <si>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</si>
  <si>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</si>
  <si>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</si>
  <si>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</si>
  <si>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</si>
  <si>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</si>
  <si>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</si>
  <si>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</si>
  <si>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</si>
  <si>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</si>
  <si>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</si>
  <si>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</si>
  <si>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</si>
  <si>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</si>
  <si>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</si>
  <si>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</si>
  <si>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</si>
  <si>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</si>
  <si>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</si>
  <si>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</si>
  <si>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</si>
  <si>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</si>
  <si>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</si>
  <si>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</si>
  <si>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</si>
  <si>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</si>
  <si>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</si>
  <si>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</si>
  <si>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</si>
  <si>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</si>
  <si>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</si>
  <si>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</si>
  <si>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</si>
  <si>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</si>
  <si>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</si>
  <si>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</si>
  <si>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</si>
  <si>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</si>
  <si>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</si>
  <si>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</si>
  <si>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</si>
  <si>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</si>
  <si>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</si>
  <si>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</si>
  <si>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</si>
  <si>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</si>
  <si>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</si>
  <si>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</si>
  <si>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</si>
  <si>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</si>
  <si>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</si>
  <si>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</si>
  <si>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</si>
  <si>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</si>
  <si>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</si>
  <si>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</si>
  <si>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</si>
  <si>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</si>
  <si>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</si>
  <si>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</si>
  <si>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</si>
  <si>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</si>
  <si>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</si>
  <si>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</si>
  <si>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</si>
  <si>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</si>
  <si>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</si>
  <si>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</si>
  <si>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</si>
  <si>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</si>
  <si>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</si>
  <si>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</si>
  <si>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</si>
  <si>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</si>
  <si>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</si>
  <si>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</si>
  <si>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</si>
  <si>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</si>
  <si>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</si>
  <si>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</si>
  <si>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</si>
  <si>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</si>
  <si>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</si>
  <si>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</si>
  <si>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</si>
  <si>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</si>
  <si>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</si>
  <si>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</si>
  <si>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</si>
  <si>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</si>
  <si>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</si>
  <si>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</si>
  <si>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</si>
  <si>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</si>
  <si>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</si>
  <si>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</si>
  <si>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</si>
  <si>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</si>
  <si>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</si>
  <si>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</si>
  <si>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</si>
  <si>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</si>
  <si>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</si>
  <si>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</si>
  <si>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</si>
  <si>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</si>
  <si>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</si>
  <si>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</si>
  <si>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</si>
  <si>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</si>
  <si>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</si>
  <si>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</si>
  <si>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</si>
  <si>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</si>
  <si>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</si>
  <si>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</si>
  <si>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</si>
  <si>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</si>
  <si>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</si>
  <si>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</si>
  <si>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</si>
  <si>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</si>
  <si>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</si>
  <si>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</si>
  <si>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</si>
  <si>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</si>
  <si>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</si>
  <si>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</si>
  <si>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</si>
  <si>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</si>
  <si>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</si>
  <si>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</si>
  <si>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</si>
  <si>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</si>
  <si>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</si>
  <si>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</si>
  <si>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</si>
  <si>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</si>
  <si>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</si>
  <si>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</si>
  <si>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</si>
  <si>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</si>
  <si>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</si>
  <si>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</si>
  <si>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</si>
  <si>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</si>
  <si>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</si>
  <si>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</si>
  <si>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</si>
  <si>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</si>
  <si>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</si>
  <si>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</si>
  <si>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</si>
  <si>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</si>
  <si>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</si>
  <si>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</si>
  <si>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</si>
  <si>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</si>
  <si>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</si>
  <si>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</si>
  <si>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</si>
  <si>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</si>
  <si>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</si>
  <si>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</si>
  <si>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</si>
  <si>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</si>
  <si>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</si>
  <si>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</si>
  <si>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</si>
  <si>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</si>
  <si>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</si>
  <si>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</si>
  <si>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</si>
  <si>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</si>
  <si>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</si>
  <si>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</si>
  <si>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</si>
  <si>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</si>
  <si>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</si>
  <si>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</si>
  <si>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</si>
  <si>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</si>
  <si>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</si>
  <si>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</si>
  <si>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</si>
  <si>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</si>
  <si>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</si>
  <si>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</si>
  <si>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</si>
  <si>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</si>
  <si>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</si>
  <si>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</si>
  <si>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</si>
  <si>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</si>
  <si>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</si>
  <si>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</si>
  <si>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</si>
  <si>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</si>
  <si>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</si>
  <si>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</si>
  <si>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</si>
  <si>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</si>
  <si>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</si>
  <si>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</si>
  <si>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</si>
  <si>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</si>
  <si>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</si>
  <si>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</si>
  <si>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</si>
  <si>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</si>
  <si>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</si>
  <si>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</si>
  <si>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</si>
  <si>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</si>
  <si>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</si>
  <si>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</si>
  <si>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</si>
  <si>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</si>
  <si>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</si>
  <si>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</si>
  <si>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</si>
  <si>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</si>
  <si>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</si>
  <si>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</si>
  <si>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</si>
  <si>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</si>
  <si>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</si>
  <si>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</si>
  <si>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</si>
  <si>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</si>
  <si>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</si>
  <si>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</si>
  <si>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</si>
  <si>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</si>
  <si>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</si>
  <si>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</si>
  <si>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</si>
  <si>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</si>
  <si>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</si>
  <si>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</si>
  <si>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</si>
  <si>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</si>
  <si>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</si>
  <si>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</si>
  <si>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</si>
  <si>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</si>
  <si>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</si>
  <si>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</si>
  <si>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</si>
  <si>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</si>
  <si>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</si>
  <si>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</si>
  <si>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</si>
  <si>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</si>
  <si>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</si>
  <si>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</si>
  <si>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</si>
  <si>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</si>
  <si>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</si>
  <si>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</si>
  <si>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</si>
  <si>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</si>
  <si>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</si>
  <si>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</si>
  <si>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</si>
  <si>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</si>
  <si>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</si>
  <si>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</si>
  <si>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</si>
  <si>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</si>
  <si>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</si>
  <si>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</si>
  <si>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</si>
  <si>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</si>
  <si>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</si>
  <si>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</si>
  <si>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</si>
  <si>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</si>
  <si>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</si>
  <si>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</si>
  <si>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</si>
  <si>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</si>
  <si>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</si>
  <si>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</si>
  <si>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</si>
  <si>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</si>
  <si>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</si>
  <si>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</si>
  <si>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</si>
  <si>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</si>
  <si>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</si>
  <si>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</si>
  <si>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</si>
  <si>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</si>
  <si>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</si>
  <si>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</si>
  <si>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</si>
  <si>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</si>
  <si>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</si>
  <si>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</si>
  <si>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</si>
  <si>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</si>
  <si>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</si>
  <si>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</si>
  <si>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</si>
  <si>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</si>
  <si>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</si>
  <si>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</si>
  <si>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</si>
  <si>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</si>
  <si>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</si>
  <si>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</si>
  <si>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</si>
  <si>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</si>
  <si>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</si>
  <si>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</si>
  <si>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</si>
  <si>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</si>
  <si>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</si>
  <si>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</si>
  <si>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</si>
  <si>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</si>
  <si>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</si>
  <si>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</si>
  <si>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</si>
  <si>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</si>
  <si>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</si>
  <si>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</si>
  <si>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</si>
  <si>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</si>
  <si>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</si>
  <si>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</si>
  <si>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</si>
  <si>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</si>
  <si>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</si>
  <si>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</si>
  <si>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</si>
  <si>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</si>
  <si>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</si>
  <si>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</si>
  <si>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Thornton School District</t>
  </si>
  <si>
    <t>07/10</t>
  </si>
  <si>
    <t>08/15</t>
  </si>
  <si>
    <t>Capital Projects Fund Other Additions tranfer to general fund</t>
  </si>
  <si>
    <t>General Fund Other Deletions transfer from capital projects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</si>
</sst>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5041-CACA-4352-8817-EEBB1268A87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531</v>
      </c>
      <c r="C2" s="21">
        <v>531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72827.91</v>
      </c>
      <c r="G9" s="18">
        <v>-22476.93</v>
      </c>
      <c r="H9" s="18">
        <v>35298.050000000003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1134.43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11078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23827.27</v>
      </c>
      <c r="G12" s="18">
        <v>15064.91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24987.05</v>
      </c>
      <c r="G13" s="18">
        <v>8133.71</v>
      </c>
      <c r="H13" s="18">
        <v>9566.89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132720.23000000001</v>
      </c>
      <c r="G19" s="41">
        <f>SUM(G9:G18)</f>
        <v>721.6899999999996</v>
      </c>
      <c r="H19" s="41">
        <f>SUM(H9:H18)</f>
        <v>44864.94</v>
      </c>
      <c r="I19" s="41">
        <f>SUM(I9:I18)</f>
        <v>0</v>
      </c>
      <c r="J19" s="41">
        <f>SUM(J9:J18)</f>
        <v>1134.43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38892.18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26346.68</v>
      </c>
      <c r="G25" s="18"/>
      <c r="H25" s="18">
        <v>1749.08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2534.9899999999998</v>
      </c>
      <c r="G29" s="18">
        <v>47.37</v>
      </c>
      <c r="H29" s="18">
        <v>466.88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674.32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28881.67</v>
      </c>
      <c r="G33" s="41">
        <f>SUM(G23:G32)</f>
        <v>721.69</v>
      </c>
      <c r="H33" s="41">
        <f>SUM(H23:H32)</f>
        <v>41108.14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103838.56</v>
      </c>
      <c r="G37" s="18"/>
      <c r="H37" s="18">
        <v>4456.5600000000004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-699.76</v>
      </c>
      <c r="I41" s="18"/>
      <c r="J41" s="13">
        <f>SUM(I449)</f>
        <v>1134.43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103838.56</v>
      </c>
      <c r="G43" s="41">
        <f>SUM(G35:G42)</f>
        <v>0</v>
      </c>
      <c r="H43" s="41">
        <f>SUM(H35:H42)</f>
        <v>3756.8</v>
      </c>
      <c r="I43" s="41">
        <f>SUM(I35:I42)</f>
        <v>0</v>
      </c>
      <c r="J43" s="41">
        <f>SUM(J35:J42)</f>
        <v>1134.43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132720.22999999998</v>
      </c>
      <c r="G44" s="41">
        <f>G43+G33</f>
        <v>721.69</v>
      </c>
      <c r="H44" s="41">
        <f>H43+H33</f>
        <v>44864.94</v>
      </c>
      <c r="I44" s="41">
        <f>I43+I33</f>
        <v>0</v>
      </c>
      <c r="J44" s="41">
        <f>J43+J33</f>
        <v>1134.43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2410257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2410257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650.22</v>
      </c>
      <c r="G88" s="18"/>
      <c r="H88" s="18"/>
      <c r="I88" s="18"/>
      <c r="J88" s="18">
        <v>2.6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31236.1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24955.72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25705.940000000002</v>
      </c>
      <c r="G103" s="41">
        <f>SUM(G88:G102)</f>
        <v>31236.1</v>
      </c>
      <c r="H103" s="41">
        <f>SUM(H88:H102)</f>
        <v>0</v>
      </c>
      <c r="I103" s="41">
        <f>SUM(I88:I102)</f>
        <v>0</v>
      </c>
      <c r="J103" s="41">
        <f>SUM(J88:J102)</f>
        <v>2.6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2435962.94</v>
      </c>
      <c r="G104" s="41">
        <f>G52+G103</f>
        <v>31236.1</v>
      </c>
      <c r="H104" s="41">
        <f>H52+H71+H86+H103</f>
        <v>0</v>
      </c>
      <c r="I104" s="41">
        <f>I52+I103</f>
        <v>0</v>
      </c>
      <c r="J104" s="41">
        <f>J52+J103</f>
        <v>2.6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253234.26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550821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9184.74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813240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833.42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833.42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813240</v>
      </c>
      <c r="G132" s="41">
        <f>G113+SUM(G128:G129)</f>
        <v>833.42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10611.65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31962.81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35159.339999999997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54960.53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35159.339999999997</v>
      </c>
      <c r="G154" s="41">
        <f>SUM(G142:G153)</f>
        <v>31962.81</v>
      </c>
      <c r="H154" s="41">
        <f>SUM(H142:H153)</f>
        <v>65572.179999999993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11698.17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46857.509999999995</v>
      </c>
      <c r="G161" s="41">
        <f>G139+G154+SUM(G155:G160)</f>
        <v>31962.81</v>
      </c>
      <c r="H161" s="41">
        <f>H139+H154+SUM(H155:H160)</f>
        <v>65572.179999999993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1387000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1387000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19645.080000000002</v>
      </c>
      <c r="H171" s="18"/>
      <c r="I171" s="18">
        <v>39919.730000000003</v>
      </c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19645.080000000002</v>
      </c>
      <c r="H175" s="41">
        <f>SUM(H171:H174)</f>
        <v>0</v>
      </c>
      <c r="I175" s="41">
        <f>SUM(I171:I174)</f>
        <v>39919.730000000003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1387000</v>
      </c>
      <c r="G184" s="41">
        <f>G175+SUM(G180:G183)</f>
        <v>19645.080000000002</v>
      </c>
      <c r="H184" s="41">
        <f>+H175+SUM(H180:H183)</f>
        <v>0</v>
      </c>
      <c r="I184" s="41">
        <f>I169+I175+SUM(I180:I183)</f>
        <v>39919.730000000003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4683060.4499999993</v>
      </c>
      <c r="G185" s="47">
        <f>G104+G132+G161+G184</f>
        <v>83677.41</v>
      </c>
      <c r="H185" s="47">
        <f>H104+H132+H161+H184</f>
        <v>65572.179999999993</v>
      </c>
      <c r="I185" s="47">
        <f>I104+I132+I161+I184</f>
        <v>39919.730000000003</v>
      </c>
      <c r="J185" s="47">
        <f>J104+J132+J184</f>
        <v>2.6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983061.97</v>
      </c>
      <c r="G189" s="18">
        <v>376787.64</v>
      </c>
      <c r="H189" s="18">
        <v>14712.39</v>
      </c>
      <c r="I189" s="18">
        <v>80227.91</v>
      </c>
      <c r="J189" s="18">
        <v>21143.06</v>
      </c>
      <c r="K189" s="18">
        <v>1017.85</v>
      </c>
      <c r="L189" s="19">
        <f>SUM(F189:K189)</f>
        <v>1476950.8199999998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404087.4</v>
      </c>
      <c r="G190" s="18">
        <v>131514.04</v>
      </c>
      <c r="H190" s="18">
        <v>62102.35</v>
      </c>
      <c r="I190" s="18">
        <v>381.22</v>
      </c>
      <c r="J190" s="18"/>
      <c r="K190" s="18"/>
      <c r="L190" s="19">
        <f>SUM(F190:K190)</f>
        <v>598085.01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33422.879999999997</v>
      </c>
      <c r="G192" s="18">
        <v>5377.61</v>
      </c>
      <c r="H192" s="18">
        <v>4000</v>
      </c>
      <c r="I192" s="18">
        <v>3900.36</v>
      </c>
      <c r="J192" s="18"/>
      <c r="K192" s="18"/>
      <c r="L192" s="19">
        <f>SUM(F192:K192)</f>
        <v>46700.85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54589.42</v>
      </c>
      <c r="G194" s="18">
        <v>22130.58</v>
      </c>
      <c r="H194" s="18">
        <v>158723.91</v>
      </c>
      <c r="I194" s="18">
        <v>4617.1000000000004</v>
      </c>
      <c r="J194" s="18">
        <v>901.64</v>
      </c>
      <c r="K194" s="18"/>
      <c r="L194" s="19">
        <f t="shared" ref="L194:L200" si="0">SUM(F194:K194)</f>
        <v>240962.65000000002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2694.16</v>
      </c>
      <c r="G195" s="18">
        <v>24587.74</v>
      </c>
      <c r="H195" s="18">
        <v>28494.04</v>
      </c>
      <c r="I195" s="18">
        <v>2075</v>
      </c>
      <c r="J195" s="18"/>
      <c r="K195" s="18"/>
      <c r="L195" s="19">
        <f t="shared" si="0"/>
        <v>57850.94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6581.02</v>
      </c>
      <c r="G196" s="18">
        <v>480.73</v>
      </c>
      <c r="H196" s="18">
        <v>127553.61</v>
      </c>
      <c r="I196" s="18">
        <v>213.31</v>
      </c>
      <c r="J196" s="18"/>
      <c r="K196" s="18">
        <v>2989.66</v>
      </c>
      <c r="L196" s="19">
        <f t="shared" si="0"/>
        <v>137818.32999999999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146236.85999999999</v>
      </c>
      <c r="G197" s="18">
        <v>66545.2</v>
      </c>
      <c r="H197" s="18">
        <v>7647.57</v>
      </c>
      <c r="I197" s="18">
        <v>1182.68</v>
      </c>
      <c r="J197" s="18"/>
      <c r="K197" s="18">
        <v>710</v>
      </c>
      <c r="L197" s="19">
        <f t="shared" si="0"/>
        <v>222322.31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144</v>
      </c>
      <c r="I198" s="18"/>
      <c r="J198" s="18"/>
      <c r="K198" s="18"/>
      <c r="L198" s="19">
        <f t="shared" si="0"/>
        <v>144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102279.71</v>
      </c>
      <c r="G199" s="18">
        <v>34887.69</v>
      </c>
      <c r="H199" s="18">
        <v>85001.91</v>
      </c>
      <c r="I199" s="18">
        <v>96298.54</v>
      </c>
      <c r="J199" s="18">
        <v>17716.57</v>
      </c>
      <c r="K199" s="18"/>
      <c r="L199" s="19">
        <f t="shared" si="0"/>
        <v>336184.42000000004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109328.79</v>
      </c>
      <c r="I200" s="18"/>
      <c r="J200" s="18"/>
      <c r="K200" s="18"/>
      <c r="L200" s="19">
        <f t="shared" si="0"/>
        <v>109328.79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1732953.42</v>
      </c>
      <c r="G203" s="41">
        <f t="shared" si="1"/>
        <v>662311.23</v>
      </c>
      <c r="H203" s="41">
        <f t="shared" si="1"/>
        <v>597708.57000000007</v>
      </c>
      <c r="I203" s="41">
        <f t="shared" si="1"/>
        <v>188896.12</v>
      </c>
      <c r="J203" s="41">
        <f t="shared" si="1"/>
        <v>39761.270000000004</v>
      </c>
      <c r="K203" s="41">
        <f t="shared" si="1"/>
        <v>4717.51</v>
      </c>
      <c r="L203" s="41">
        <f t="shared" si="1"/>
        <v>3226348.1199999996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1446842.69</v>
      </c>
      <c r="I247" s="18"/>
      <c r="J247" s="18"/>
      <c r="K247" s="18"/>
      <c r="L247" s="19">
        <f t="shared" si="6"/>
        <v>1446842.69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1446842.69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1446842.69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1732953.42</v>
      </c>
      <c r="G249" s="41">
        <f t="shared" si="8"/>
        <v>662311.23</v>
      </c>
      <c r="H249" s="41">
        <f t="shared" si="8"/>
        <v>2044551.26</v>
      </c>
      <c r="I249" s="41">
        <f t="shared" si="8"/>
        <v>188896.12</v>
      </c>
      <c r="J249" s="41">
        <f t="shared" si="8"/>
        <v>39761.270000000004</v>
      </c>
      <c r="K249" s="41">
        <f t="shared" si="8"/>
        <v>4717.51</v>
      </c>
      <c r="L249" s="41">
        <f t="shared" si="8"/>
        <v>4673190.8099999996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20527.599999999999</v>
      </c>
      <c r="L253" s="19">
        <f>SUM(F253:K253)</f>
        <v>20527.599999999999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19645.080000000002</v>
      </c>
      <c r="L255" s="19">
        <f>SUM(F255:K255)</f>
        <v>19645.080000000002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39919.730000000003</v>
      </c>
      <c r="L257" s="19">
        <f t="shared" si="9"/>
        <v>39919.730000000003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80092.41</v>
      </c>
      <c r="L262" s="41">
        <f t="shared" si="9"/>
        <v>80092.41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1732953.42</v>
      </c>
      <c r="G263" s="42">
        <f t="shared" si="11"/>
        <v>662311.23</v>
      </c>
      <c r="H263" s="42">
        <f t="shared" si="11"/>
        <v>2044551.26</v>
      </c>
      <c r="I263" s="42">
        <f t="shared" si="11"/>
        <v>188896.12</v>
      </c>
      <c r="J263" s="42">
        <f t="shared" si="11"/>
        <v>39761.270000000004</v>
      </c>
      <c r="K263" s="42">
        <f t="shared" si="11"/>
        <v>84809.919999999998</v>
      </c>
      <c r="L263" s="42">
        <f t="shared" si="11"/>
        <v>4753283.22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7805.51</v>
      </c>
      <c r="G268" s="18">
        <v>538.98</v>
      </c>
      <c r="H268" s="18"/>
      <c r="I268" s="18">
        <v>3099.13</v>
      </c>
      <c r="J268" s="18">
        <v>18412.38</v>
      </c>
      <c r="K268" s="18"/>
      <c r="L268" s="19">
        <f>SUM(F268:K268)</f>
        <v>29856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15485.13</v>
      </c>
      <c r="G269" s="18"/>
      <c r="H269" s="18"/>
      <c r="I269" s="18">
        <v>6669.82</v>
      </c>
      <c r="J269" s="18">
        <v>11566.29</v>
      </c>
      <c r="K269" s="18"/>
      <c r="L269" s="19">
        <f>SUM(F269:K269)</f>
        <v>33721.24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837.75</v>
      </c>
      <c r="I274" s="18"/>
      <c r="J274" s="18"/>
      <c r="K274" s="18"/>
      <c r="L274" s="19">
        <f t="shared" si="12"/>
        <v>837.75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237.07</v>
      </c>
      <c r="L277" s="19">
        <f t="shared" si="12"/>
        <v>237.07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920.15</v>
      </c>
      <c r="L280" s="19">
        <f>SUM(F280:K280)</f>
        <v>920.15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23290.639999999999</v>
      </c>
      <c r="G282" s="42">
        <f t="shared" si="13"/>
        <v>538.98</v>
      </c>
      <c r="H282" s="42">
        <f t="shared" si="13"/>
        <v>837.75</v>
      </c>
      <c r="I282" s="42">
        <f t="shared" si="13"/>
        <v>9768.9500000000007</v>
      </c>
      <c r="J282" s="42">
        <f t="shared" si="13"/>
        <v>29978.670000000002</v>
      </c>
      <c r="K282" s="42">
        <f t="shared" si="13"/>
        <v>1157.22</v>
      </c>
      <c r="L282" s="41">
        <f t="shared" si="13"/>
        <v>65572.209999999992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23290.639999999999</v>
      </c>
      <c r="G330" s="41">
        <f t="shared" si="20"/>
        <v>538.98</v>
      </c>
      <c r="H330" s="41">
        <f t="shared" si="20"/>
        <v>837.75</v>
      </c>
      <c r="I330" s="41">
        <f t="shared" si="20"/>
        <v>9768.9500000000007</v>
      </c>
      <c r="J330" s="41">
        <f t="shared" si="20"/>
        <v>29978.670000000002</v>
      </c>
      <c r="K330" s="41">
        <f t="shared" si="20"/>
        <v>1157.22</v>
      </c>
      <c r="L330" s="41">
        <f t="shared" si="20"/>
        <v>65572.209999999992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23290.639999999999</v>
      </c>
      <c r="G344" s="41">
        <f>G330</f>
        <v>538.98</v>
      </c>
      <c r="H344" s="41">
        <f>H330</f>
        <v>837.75</v>
      </c>
      <c r="I344" s="41">
        <f>I330</f>
        <v>9768.9500000000007</v>
      </c>
      <c r="J344" s="41">
        <f>J330</f>
        <v>29978.670000000002</v>
      </c>
      <c r="K344" s="47">
        <f>K330+K343</f>
        <v>1157.22</v>
      </c>
      <c r="L344" s="41">
        <f>L330+L343</f>
        <v>65572.209999999992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40061.75</v>
      </c>
      <c r="G350" s="18">
        <v>7344.82</v>
      </c>
      <c r="H350" s="18">
        <v>1817.38</v>
      </c>
      <c r="I350" s="18">
        <v>34184.21</v>
      </c>
      <c r="J350" s="18"/>
      <c r="K350" s="18">
        <v>269.25</v>
      </c>
      <c r="L350" s="13">
        <f>SUM(F350:K350)</f>
        <v>83677.41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40061.75</v>
      </c>
      <c r="G354" s="47">
        <f t="shared" si="22"/>
        <v>7344.82</v>
      </c>
      <c r="H354" s="47">
        <f t="shared" si="22"/>
        <v>1817.38</v>
      </c>
      <c r="I354" s="47">
        <f t="shared" si="22"/>
        <v>34184.21</v>
      </c>
      <c r="J354" s="47">
        <f t="shared" si="22"/>
        <v>0</v>
      </c>
      <c r="K354" s="47">
        <f t="shared" si="22"/>
        <v>269.25</v>
      </c>
      <c r="L354" s="47">
        <f t="shared" si="22"/>
        <v>83677.41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32291.94</v>
      </c>
      <c r="G359" s="18"/>
      <c r="H359" s="18"/>
      <c r="I359" s="56">
        <f>SUM(F359:H359)</f>
        <v>32291.94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1892.27</v>
      </c>
      <c r="G360" s="63"/>
      <c r="H360" s="63"/>
      <c r="I360" s="56">
        <f>SUM(F360:H360)</f>
        <v>1892.27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34184.21</v>
      </c>
      <c r="G361" s="47">
        <f>SUM(G359:G360)</f>
        <v>0</v>
      </c>
      <c r="H361" s="47">
        <f>SUM(H359:H360)</f>
        <v>0</v>
      </c>
      <c r="I361" s="47">
        <f>SUM(I359:I360)</f>
        <v>34184.21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2.6</v>
      </c>
      <c r="I381" s="18"/>
      <c r="J381" s="24" t="s">
        <v>312</v>
      </c>
      <c r="K381" s="24" t="s">
        <v>312</v>
      </c>
      <c r="L381" s="56">
        <f t="shared" si="25"/>
        <v>2.6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2.6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2.6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2.6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2.6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1134.43</v>
      </c>
      <c r="G432" s="18"/>
      <c r="H432" s="18"/>
      <c r="I432" s="56">
        <f t="shared" si="33"/>
        <v>1134.43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1134.43</v>
      </c>
      <c r="G438" s="13">
        <f>SUM(G431:G437)</f>
        <v>0</v>
      </c>
      <c r="H438" s="13">
        <f>SUM(H431:H437)</f>
        <v>0</v>
      </c>
      <c r="I438" s="13">
        <f>SUM(I431:I437)</f>
        <v>1134.43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1134.43</v>
      </c>
      <c r="G449" s="18"/>
      <c r="H449" s="18"/>
      <c r="I449" s="56">
        <f>SUM(F449:H449)</f>
        <v>1134.43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1134.43</v>
      </c>
      <c r="G450" s="83">
        <f>SUM(G446:G449)</f>
        <v>0</v>
      </c>
      <c r="H450" s="83">
        <f>SUM(H446:H449)</f>
        <v>0</v>
      </c>
      <c r="I450" s="83">
        <f>SUM(I446:I449)</f>
        <v>1134.43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1134.43</v>
      </c>
      <c r="G451" s="42">
        <f>G444+G450</f>
        <v>0</v>
      </c>
      <c r="H451" s="42">
        <f>H444+H450</f>
        <v>0</v>
      </c>
      <c r="I451" s="42">
        <f>I444+I450</f>
        <v>1134.43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174061.33</v>
      </c>
      <c r="G455" s="18">
        <v>0</v>
      </c>
      <c r="H455" s="18">
        <v>3756.83</v>
      </c>
      <c r="I455" s="18">
        <v>-39919.730000000003</v>
      </c>
      <c r="J455" s="18">
        <v>1131.83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4683060.45</v>
      </c>
      <c r="G458" s="18">
        <v>83677.41</v>
      </c>
      <c r="H458" s="18">
        <v>65572.179999999993</v>
      </c>
      <c r="I458" s="18">
        <v>39919.730000000003</v>
      </c>
      <c r="J458" s="18">
        <v>2.6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4683060.45</v>
      </c>
      <c r="G460" s="53">
        <f>SUM(G458:G459)</f>
        <v>83677.41</v>
      </c>
      <c r="H460" s="53">
        <f>SUM(H458:H459)</f>
        <v>65572.179999999993</v>
      </c>
      <c r="I460" s="53">
        <f>SUM(I458:I459)</f>
        <v>39919.730000000003</v>
      </c>
      <c r="J460" s="53">
        <f>SUM(J458:J459)</f>
        <v>2.6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4713363.49+39919.73</f>
        <v>4753283.2200000007</v>
      </c>
      <c r="G462" s="18">
        <v>83677.41</v>
      </c>
      <c r="H462" s="18">
        <v>65572.210000000006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4753283.2200000007</v>
      </c>
      <c r="G464" s="53">
        <f>SUM(G462:G463)</f>
        <v>83677.41</v>
      </c>
      <c r="H464" s="53">
        <f>SUM(H462:H463)</f>
        <v>65572.210000000006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103838.55999999959</v>
      </c>
      <c r="G466" s="53">
        <f>(G455+G460)- G464</f>
        <v>0</v>
      </c>
      <c r="H466" s="53">
        <f>(H455+H460)- H464</f>
        <v>3756.7999999999884</v>
      </c>
      <c r="I466" s="53">
        <f>(I455+I460)- I464</f>
        <v>0</v>
      </c>
      <c r="J466" s="53">
        <f>(J455+J460)- J464</f>
        <v>1134.4299999999998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1387000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2.4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1387000</v>
      </c>
      <c r="G485" s="18"/>
      <c r="H485" s="18"/>
      <c r="I485" s="18"/>
      <c r="J485" s="18"/>
      <c r="K485" s="53">
        <f>SUM(F485:J485)</f>
        <v>1387000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1387000</v>
      </c>
      <c r="G488" s="205"/>
      <c r="H488" s="205"/>
      <c r="I488" s="205"/>
      <c r="J488" s="205"/>
      <c r="K488" s="206">
        <f t="shared" si="34"/>
        <v>1387000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85236</v>
      </c>
      <c r="G489" s="18"/>
      <c r="H489" s="18"/>
      <c r="I489" s="18"/>
      <c r="J489" s="18"/>
      <c r="K489" s="53">
        <f t="shared" si="34"/>
        <v>85236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1472236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1472236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277400</v>
      </c>
      <c r="G491" s="205"/>
      <c r="H491" s="205"/>
      <c r="I491" s="205"/>
      <c r="J491" s="205"/>
      <c r="K491" s="206">
        <f t="shared" si="34"/>
        <v>277400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31272</v>
      </c>
      <c r="G492" s="18"/>
      <c r="H492" s="18"/>
      <c r="I492" s="18"/>
      <c r="J492" s="18"/>
      <c r="K492" s="53">
        <f t="shared" si="34"/>
        <v>31272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308672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308672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410454.42</v>
      </c>
      <c r="G511" s="18">
        <v>131514.04</v>
      </c>
      <c r="H511" s="18">
        <v>61603.35</v>
      </c>
      <c r="I511" s="18">
        <v>7051.04</v>
      </c>
      <c r="J511" s="18">
        <v>11566.29</v>
      </c>
      <c r="K511" s="18"/>
      <c r="L511" s="88">
        <f>SUM(F511:K511)</f>
        <v>622189.14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410454.42</v>
      </c>
      <c r="G514" s="108">
        <f t="shared" ref="G514:L514" si="35">SUM(G511:G513)</f>
        <v>131514.04</v>
      </c>
      <c r="H514" s="108">
        <f t="shared" si="35"/>
        <v>61603.35</v>
      </c>
      <c r="I514" s="108">
        <f t="shared" si="35"/>
        <v>7051.04</v>
      </c>
      <c r="J514" s="108">
        <f t="shared" si="35"/>
        <v>11566.29</v>
      </c>
      <c r="K514" s="108">
        <f t="shared" si="35"/>
        <v>0</v>
      </c>
      <c r="L514" s="89">
        <f t="shared" si="35"/>
        <v>622189.14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16964.02</v>
      </c>
      <c r="G516" s="18">
        <v>3163.16</v>
      </c>
      <c r="H516" s="18">
        <v>106730.08</v>
      </c>
      <c r="I516" s="18">
        <v>1280.3599999999999</v>
      </c>
      <c r="J516" s="18">
        <v>90.16</v>
      </c>
      <c r="K516" s="18"/>
      <c r="L516" s="88">
        <f>SUM(F516:K516)</f>
        <v>128227.78000000001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16964.02</v>
      </c>
      <c r="G519" s="89">
        <f t="shared" ref="G519:L519" si="36">SUM(G516:G518)</f>
        <v>3163.16</v>
      </c>
      <c r="H519" s="89">
        <f t="shared" si="36"/>
        <v>106730.08</v>
      </c>
      <c r="I519" s="89">
        <f t="shared" si="36"/>
        <v>1280.3599999999999</v>
      </c>
      <c r="J519" s="89">
        <f t="shared" si="36"/>
        <v>90.16</v>
      </c>
      <c r="K519" s="89">
        <f t="shared" si="36"/>
        <v>0</v>
      </c>
      <c r="L519" s="89">
        <f t="shared" si="36"/>
        <v>128227.78000000001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13814.33</v>
      </c>
      <c r="G521" s="18">
        <v>5319.51</v>
      </c>
      <c r="H521" s="18">
        <v>158.54</v>
      </c>
      <c r="I521" s="18"/>
      <c r="J521" s="18"/>
      <c r="K521" s="18"/>
      <c r="L521" s="88">
        <f>SUM(F521:K521)</f>
        <v>19292.38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13814.33</v>
      </c>
      <c r="G524" s="89">
        <f t="shared" ref="G524:L524" si="37">SUM(G521:G523)</f>
        <v>5319.51</v>
      </c>
      <c r="H524" s="89">
        <f t="shared" si="37"/>
        <v>158.54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19292.38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5721.6</v>
      </c>
      <c r="I531" s="18"/>
      <c r="J531" s="18"/>
      <c r="K531" s="18"/>
      <c r="L531" s="88">
        <f>SUM(F531:K531)</f>
        <v>5721.6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5721.6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5721.6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441232.77</v>
      </c>
      <c r="G535" s="89">
        <f t="shared" ref="G535:L535" si="40">G514+G519+G524+G529+G534</f>
        <v>139996.71000000002</v>
      </c>
      <c r="H535" s="89">
        <f t="shared" si="40"/>
        <v>174213.57</v>
      </c>
      <c r="I535" s="89">
        <f t="shared" si="40"/>
        <v>8331.4</v>
      </c>
      <c r="J535" s="89">
        <f t="shared" si="40"/>
        <v>11656.45</v>
      </c>
      <c r="K535" s="89">
        <f t="shared" si="40"/>
        <v>0</v>
      </c>
      <c r="L535" s="89">
        <f t="shared" si="40"/>
        <v>775430.9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622189.14</v>
      </c>
      <c r="G539" s="87">
        <f>L516</f>
        <v>128227.78000000001</v>
      </c>
      <c r="H539" s="87">
        <f>L521</f>
        <v>19292.38</v>
      </c>
      <c r="I539" s="87">
        <f>L526</f>
        <v>0</v>
      </c>
      <c r="J539" s="87">
        <f>L531</f>
        <v>5721.6</v>
      </c>
      <c r="K539" s="87">
        <f>SUM(F539:J539)</f>
        <v>775430.9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622189.14</v>
      </c>
      <c r="G542" s="89">
        <f t="shared" si="41"/>
        <v>128227.78000000001</v>
      </c>
      <c r="H542" s="89">
        <f t="shared" si="41"/>
        <v>19292.38</v>
      </c>
      <c r="I542" s="89">
        <f t="shared" si="41"/>
        <v>0</v>
      </c>
      <c r="J542" s="89">
        <f t="shared" si="41"/>
        <v>5721.6</v>
      </c>
      <c r="K542" s="89">
        <f t="shared" si="41"/>
        <v>775430.9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>
        <v>499</v>
      </c>
      <c r="I558" s="18"/>
      <c r="J558" s="18"/>
      <c r="K558" s="18"/>
      <c r="L558" s="88">
        <f>SUM(F558:K558)</f>
        <v>499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499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499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499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499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46829.61</v>
      </c>
      <c r="G570" s="18"/>
      <c r="H570" s="18"/>
      <c r="I570" s="87">
        <f t="shared" si="46"/>
        <v>46829.61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89757.19</v>
      </c>
      <c r="I581" s="18"/>
      <c r="J581" s="18"/>
      <c r="K581" s="104">
        <f t="shared" ref="K581:K587" si="47">SUM(H581:J581)</f>
        <v>89757.19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5721.6</v>
      </c>
      <c r="I582" s="18"/>
      <c r="J582" s="18"/>
      <c r="K582" s="104">
        <f t="shared" si="47"/>
        <v>5721.6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5845</v>
      </c>
      <c r="I584" s="18"/>
      <c r="J584" s="18"/>
      <c r="K584" s="104">
        <f t="shared" si="47"/>
        <v>5845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8005</v>
      </c>
      <c r="I585" s="18"/>
      <c r="J585" s="18"/>
      <c r="K585" s="104">
        <f t="shared" si="47"/>
        <v>8005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109328.79000000001</v>
      </c>
      <c r="I588" s="108">
        <f>SUM(I581:I587)</f>
        <v>0</v>
      </c>
      <c r="J588" s="108">
        <f>SUM(J581:J587)</f>
        <v>0</v>
      </c>
      <c r="K588" s="108">
        <f>SUM(K581:K587)</f>
        <v>109328.79000000001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69739.94</v>
      </c>
      <c r="I594" s="18"/>
      <c r="J594" s="18"/>
      <c r="K594" s="104">
        <f>SUM(H594:J594)</f>
        <v>69739.94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69739.94</v>
      </c>
      <c r="I595" s="108">
        <f>SUM(I592:I594)</f>
        <v>0</v>
      </c>
      <c r="J595" s="108">
        <f>SUM(J592:J594)</f>
        <v>0</v>
      </c>
      <c r="K595" s="108">
        <f>SUM(K592:K594)</f>
        <v>69739.94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132720.23000000001</v>
      </c>
      <c r="H607" s="109">
        <f>SUM(F44)</f>
        <v>132720.22999999998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721.6899999999996</v>
      </c>
      <c r="H608" s="109">
        <f>SUM(G44)</f>
        <v>721.69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44864.94</v>
      </c>
      <c r="H609" s="109">
        <f>SUM(H44)</f>
        <v>44864.94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1134.43</v>
      </c>
      <c r="H611" s="109">
        <f>SUM(J44)</f>
        <v>1134.43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103838.56</v>
      </c>
      <c r="H612" s="109">
        <f>F466</f>
        <v>103838.55999999959</v>
      </c>
      <c r="I612" s="121" t="s">
        <v>106</v>
      </c>
      <c r="J612" s="109">
        <f t="shared" ref="J612:J645" si="49">G612-H612</f>
        <v>4.0745362639427185E-10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3756.8</v>
      </c>
      <c r="H614" s="109">
        <f>H466</f>
        <v>3756.7999999999884</v>
      </c>
      <c r="I614" s="121" t="s">
        <v>110</v>
      </c>
      <c r="J614" s="109">
        <f t="shared" si="49"/>
        <v>1.1823431123048067E-11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1134.43</v>
      </c>
      <c r="H616" s="109">
        <f>J466</f>
        <v>1134.4299999999998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4683060.4499999993</v>
      </c>
      <c r="H617" s="104">
        <f>SUM(F458)</f>
        <v>4683060.45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83677.41</v>
      </c>
      <c r="H618" s="104">
        <f>SUM(G458)</f>
        <v>83677.41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65572.179999999993</v>
      </c>
      <c r="H619" s="104">
        <f>SUM(H458)</f>
        <v>65572.179999999993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39919.730000000003</v>
      </c>
      <c r="H620" s="104">
        <f>SUM(I458)</f>
        <v>39919.730000000003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2.6</v>
      </c>
      <c r="H621" s="104">
        <f>SUM(J458)</f>
        <v>2.6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4753283.22</v>
      </c>
      <c r="H622" s="104">
        <f>SUM(F462)</f>
        <v>4753283.2200000007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65572.209999999992</v>
      </c>
      <c r="H623" s="104">
        <f>SUM(H462)</f>
        <v>65572.210000000006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34184.21</v>
      </c>
      <c r="H624" s="104">
        <f>I361</f>
        <v>34184.21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83677.41</v>
      </c>
      <c r="H625" s="104">
        <f>SUM(G462)</f>
        <v>83677.41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2.6</v>
      </c>
      <c r="H627" s="164">
        <f>SUM(J458)</f>
        <v>2.6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1134.43</v>
      </c>
      <c r="H629" s="104">
        <f>SUM(F451)</f>
        <v>1134.43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1134.43</v>
      </c>
      <c r="H632" s="104">
        <f>SUM(I451)</f>
        <v>1134.43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2.6</v>
      </c>
      <c r="H634" s="104">
        <f>H400</f>
        <v>2.6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2.6</v>
      </c>
      <c r="H636" s="104">
        <f>L400</f>
        <v>2.6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109328.79000000001</v>
      </c>
      <c r="H637" s="104">
        <f>L200+L218+L236</f>
        <v>109328.79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69739.94</v>
      </c>
      <c r="H638" s="104">
        <f>(J249+J330)-(J247+J328)</f>
        <v>69739.94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109328.79</v>
      </c>
      <c r="H639" s="104">
        <f>H588</f>
        <v>109328.79000000001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19645.080000000002</v>
      </c>
      <c r="H642" s="104">
        <f>K255+K337</f>
        <v>19645.080000000002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39919.730000000003</v>
      </c>
      <c r="H644" s="104">
        <f>K257+K338</f>
        <v>39919.730000000003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3375597.7399999998</v>
      </c>
      <c r="G650" s="19">
        <f>(L221+L301+L351)</f>
        <v>0</v>
      </c>
      <c r="H650" s="19">
        <f>(L239+L320+L352)</f>
        <v>0</v>
      </c>
      <c r="I650" s="19">
        <f>SUM(F650:H650)</f>
        <v>3375597.7399999998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31236.1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31236.1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109328.79</v>
      </c>
      <c r="G652" s="19">
        <f>(L218+L298)-(J218+J298)</f>
        <v>0</v>
      </c>
      <c r="H652" s="19">
        <f>(L236+L317)-(J236+J317)</f>
        <v>0</v>
      </c>
      <c r="I652" s="19">
        <f>SUM(F652:H652)</f>
        <v>109328.79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116569.55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116569.55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3118463.3</v>
      </c>
      <c r="G654" s="19">
        <f>G650-SUM(G651:G653)</f>
        <v>0</v>
      </c>
      <c r="H654" s="19">
        <f>H650-SUM(H651:H653)</f>
        <v>0</v>
      </c>
      <c r="I654" s="19">
        <f>I650-SUM(I651:I653)</f>
        <v>3118463.3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192.23</v>
      </c>
      <c r="G655" s="249"/>
      <c r="H655" s="249"/>
      <c r="I655" s="19">
        <f>SUM(F655:H655)</f>
        <v>192.23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16222.56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16222.56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16222.56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16222.56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2353-86D5-4800-ADDE-F034DF23FCFB}">
  <sheetPr>
    <tabColor indexed="20"/>
  </sheetPr>
  <dimension ref="A1:C52"/>
  <sheetViews>
    <sheetView topLeftCell="A13" workbookViewId="0">
      <selection activeCell="C23" sqref="C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Thornton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990867.48</v>
      </c>
      <c r="C9" s="230">
        <f>'DOE25'!G189+'DOE25'!G207+'DOE25'!G225+'DOE25'!G268+'DOE25'!G287+'DOE25'!G306</f>
        <v>377326.62</v>
      </c>
    </row>
    <row r="10" spans="1:3" x14ac:dyDescent="0.2">
      <c r="A10" t="s">
        <v>810</v>
      </c>
      <c r="B10" s="241">
        <v>968267.48</v>
      </c>
      <c r="C10" s="241">
        <v>375039.99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22600</v>
      </c>
      <c r="C12" s="241">
        <v>2286.63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990867.48</v>
      </c>
      <c r="C13" s="232">
        <f>SUM(C10:C12)</f>
        <v>377326.62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419572.53</v>
      </c>
      <c r="C18" s="230">
        <f>'DOE25'!G190+'DOE25'!G208+'DOE25'!G226+'DOE25'!G269+'DOE25'!G288+'DOE25'!G307</f>
        <v>131514.04</v>
      </c>
    </row>
    <row r="19" spans="1:3" x14ac:dyDescent="0.2">
      <c r="A19" t="s">
        <v>810</v>
      </c>
      <c r="B19" s="241">
        <v>138749.13</v>
      </c>
      <c r="C19" s="241">
        <v>57678.21</v>
      </c>
    </row>
    <row r="20" spans="1:3" x14ac:dyDescent="0.2">
      <c r="A20" t="s">
        <v>811</v>
      </c>
      <c r="B20" s="241">
        <v>259805.04</v>
      </c>
      <c r="C20" s="241">
        <v>71116.28</v>
      </c>
    </row>
    <row r="21" spans="1:3" x14ac:dyDescent="0.2">
      <c r="A21" t="s">
        <v>812</v>
      </c>
      <c r="B21" s="241">
        <v>21018.36</v>
      </c>
      <c r="C21" s="241">
        <v>2719.55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419572.53</v>
      </c>
      <c r="C22" s="232">
        <f>SUM(C19:C21)</f>
        <v>131514.03999999998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33422.879999999997</v>
      </c>
      <c r="C36" s="236">
        <f>'DOE25'!G192+'DOE25'!G210+'DOE25'!G228+'DOE25'!G271+'DOE25'!G290+'DOE25'!G309</f>
        <v>5377.61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33422.879999999997</v>
      </c>
      <c r="C39" s="241">
        <v>5377.61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33422.879999999997</v>
      </c>
      <c r="C40" s="232">
        <f>SUM(C37:C39)</f>
        <v>5377.61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963-C715-4793-8AEB-236893363C04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Thornton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2121736.6799999997</v>
      </c>
      <c r="D5" s="20">
        <f>SUM('DOE25'!L189:L192)+SUM('DOE25'!L207:L210)+SUM('DOE25'!L225:L228)-F5-G5</f>
        <v>2099575.7699999996</v>
      </c>
      <c r="E5" s="244"/>
      <c r="F5" s="256">
        <f>SUM('DOE25'!J189:J192)+SUM('DOE25'!J207:J210)+SUM('DOE25'!J225:J228)</f>
        <v>21143.06</v>
      </c>
      <c r="G5" s="53">
        <f>SUM('DOE25'!K189:K192)+SUM('DOE25'!K207:K210)+SUM('DOE25'!K225:K228)</f>
        <v>1017.85</v>
      </c>
      <c r="H5" s="260"/>
    </row>
    <row r="6" spans="1:9" x14ac:dyDescent="0.2">
      <c r="A6" s="32">
        <v>2100</v>
      </c>
      <c r="B6" t="s">
        <v>832</v>
      </c>
      <c r="C6" s="246">
        <f t="shared" si="0"/>
        <v>240962.65000000002</v>
      </c>
      <c r="D6" s="20">
        <f>'DOE25'!L194+'DOE25'!L212+'DOE25'!L230-F6-G6</f>
        <v>240061.01</v>
      </c>
      <c r="E6" s="244"/>
      <c r="F6" s="256">
        <f>'DOE25'!J194+'DOE25'!J212+'DOE25'!J230</f>
        <v>901.64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57850.94</v>
      </c>
      <c r="D7" s="20">
        <f>'DOE25'!L195+'DOE25'!L213+'DOE25'!L231-F7-G7</f>
        <v>57850.94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70389.079999999987</v>
      </c>
      <c r="D8" s="244"/>
      <c r="E8" s="20">
        <f>'DOE25'!L196+'DOE25'!L214+'DOE25'!L232-F8-G8-D9-D11</f>
        <v>67399.419999999984</v>
      </c>
      <c r="F8" s="256">
        <f>'DOE25'!J196+'DOE25'!J214+'DOE25'!J232</f>
        <v>0</v>
      </c>
      <c r="G8" s="53">
        <f>'DOE25'!K196+'DOE25'!K214+'DOE25'!K232</f>
        <v>2989.66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17088.330000000002</v>
      </c>
      <c r="D9" s="245">
        <v>17088.330000000002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50340.92</v>
      </c>
      <c r="D11" s="245">
        <v>50340.92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222322.31</v>
      </c>
      <c r="D12" s="20">
        <f>'DOE25'!L197+'DOE25'!L215+'DOE25'!L233-F12-G12</f>
        <v>221612.31</v>
      </c>
      <c r="E12" s="244"/>
      <c r="F12" s="256">
        <f>'DOE25'!J197+'DOE25'!J215+'DOE25'!J233</f>
        <v>0</v>
      </c>
      <c r="G12" s="53">
        <f>'DOE25'!K197+'DOE25'!K215+'DOE25'!K233</f>
        <v>710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144</v>
      </c>
      <c r="D13" s="244"/>
      <c r="E13" s="20">
        <f>'DOE25'!L198+'DOE25'!L216+'DOE25'!L234-F13-G13</f>
        <v>144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336184.42000000004</v>
      </c>
      <c r="D14" s="20">
        <f>'DOE25'!L199+'DOE25'!L217+'DOE25'!L235-F14-G14</f>
        <v>318467.85000000003</v>
      </c>
      <c r="E14" s="244"/>
      <c r="F14" s="256">
        <f>'DOE25'!J199+'DOE25'!J217+'DOE25'!J235</f>
        <v>17716.57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109328.79</v>
      </c>
      <c r="D15" s="20">
        <f>'DOE25'!L200+'DOE25'!L218+'DOE25'!L236-F15-G15</f>
        <v>109328.79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1446842.69</v>
      </c>
      <c r="D22" s="244"/>
      <c r="E22" s="244"/>
      <c r="F22" s="256">
        <f>'DOE25'!L247+'DOE25'!L328</f>
        <v>1446842.69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20527.599999999999</v>
      </c>
      <c r="D25" s="244"/>
      <c r="E25" s="244"/>
      <c r="F25" s="259"/>
      <c r="G25" s="257"/>
      <c r="H25" s="258">
        <f>'DOE25'!L252+'DOE25'!L253+'DOE25'!L333+'DOE25'!L334</f>
        <v>20527.599999999999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51385.47</v>
      </c>
      <c r="D29" s="20">
        <f>'DOE25'!L350+'DOE25'!L351+'DOE25'!L352-'DOE25'!I359-F29-G29</f>
        <v>51116.22</v>
      </c>
      <c r="E29" s="244"/>
      <c r="F29" s="256">
        <f>'DOE25'!J350+'DOE25'!J351+'DOE25'!J352</f>
        <v>0</v>
      </c>
      <c r="G29" s="53">
        <f>'DOE25'!K350+'DOE25'!K351+'DOE25'!K352</f>
        <v>269.25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65572.209999999992</v>
      </c>
      <c r="D31" s="20">
        <f>'DOE25'!L282+'DOE25'!L301+'DOE25'!L320+'DOE25'!L325+'DOE25'!L326+'DOE25'!L327-F31-G31</f>
        <v>34436.319999999992</v>
      </c>
      <c r="E31" s="244"/>
      <c r="F31" s="256">
        <f>'DOE25'!J282+'DOE25'!J301+'DOE25'!J320+'DOE25'!J325+'DOE25'!J326+'DOE25'!J327</f>
        <v>29978.670000000002</v>
      </c>
      <c r="G31" s="53">
        <f>'DOE25'!K282+'DOE25'!K301+'DOE25'!K320+'DOE25'!K325+'DOE25'!K326+'DOE25'!K327</f>
        <v>1157.22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3199878.4599999995</v>
      </c>
      <c r="E33" s="247">
        <f>SUM(E5:E31)</f>
        <v>71543.419999999984</v>
      </c>
      <c r="F33" s="247">
        <f>SUM(F5:F31)</f>
        <v>1516582.63</v>
      </c>
      <c r="G33" s="247">
        <f>SUM(G5:G31)</f>
        <v>6143.9800000000005</v>
      </c>
      <c r="H33" s="247">
        <f>SUM(H5:H31)</f>
        <v>20527.599999999999</v>
      </c>
    </row>
    <row r="35" spans="2:8" ht="12" thickBot="1" x14ac:dyDescent="0.25">
      <c r="B35" s="254" t="s">
        <v>878</v>
      </c>
      <c r="D35" s="255">
        <f>E33</f>
        <v>71543.419999999984</v>
      </c>
      <c r="E35" s="250"/>
    </row>
    <row r="36" spans="2:8" ht="12" thickTop="1" x14ac:dyDescent="0.2">
      <c r="B36" t="s">
        <v>846</v>
      </c>
      <c r="D36" s="20">
        <f>D33</f>
        <v>3199878.4599999995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8843-623B-415B-B6CE-AFDD43FD7216}">
  <sheetPr transitionEvaluation="1" codeName="Sheet2">
    <tabColor indexed="10"/>
  </sheetPr>
  <dimension ref="A1:I156"/>
  <sheetViews>
    <sheetView zoomScale="75" workbookViewId="0">
      <pane ySplit="2" topLeftCell="A7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72827.91</v>
      </c>
      <c r="D9" s="95">
        <f>'DOE25'!G9</f>
        <v>-22476.93</v>
      </c>
      <c r="E9" s="95">
        <f>'DOE25'!H9</f>
        <v>35298.050000000003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1134.43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11078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23827.27</v>
      </c>
      <c r="D12" s="95">
        <f>'DOE25'!G12</f>
        <v>15064.91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24987.05</v>
      </c>
      <c r="D13" s="95">
        <f>'DOE25'!G13</f>
        <v>8133.71</v>
      </c>
      <c r="E13" s="95">
        <f>'DOE25'!H13</f>
        <v>9566.89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132720.23000000001</v>
      </c>
      <c r="D19" s="41">
        <f>SUM(D9:D18)</f>
        <v>721.6899999999996</v>
      </c>
      <c r="E19" s="41">
        <f>SUM(E9:E18)</f>
        <v>44864.94</v>
      </c>
      <c r="F19" s="41">
        <f>SUM(F9:F18)</f>
        <v>0</v>
      </c>
      <c r="G19" s="41">
        <f>SUM(G9:G18)</f>
        <v>1134.43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38892.18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26346.68</v>
      </c>
      <c r="D24" s="95">
        <f>'DOE25'!G25</f>
        <v>0</v>
      </c>
      <c r="E24" s="95">
        <f>'DOE25'!H25</f>
        <v>1749.08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2534.9899999999998</v>
      </c>
      <c r="D28" s="95">
        <f>'DOE25'!G29</f>
        <v>47.37</v>
      </c>
      <c r="E28" s="95">
        <f>'DOE25'!H29</f>
        <v>466.88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674.32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28881.67</v>
      </c>
      <c r="D32" s="41">
        <f>SUM(D22:D31)</f>
        <v>721.69</v>
      </c>
      <c r="E32" s="41">
        <f>SUM(E22:E31)</f>
        <v>41108.14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103838.56</v>
      </c>
      <c r="D36" s="95">
        <f>'DOE25'!G37</f>
        <v>0</v>
      </c>
      <c r="E36" s="95">
        <f>'DOE25'!H37</f>
        <v>4456.5600000000004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-699.76</v>
      </c>
      <c r="F40" s="95">
        <f>'DOE25'!I41</f>
        <v>0</v>
      </c>
      <c r="G40" s="95">
        <f>'DOE25'!J41</f>
        <v>1134.43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103838.56</v>
      </c>
      <c r="D42" s="41">
        <f>SUM(D34:D41)</f>
        <v>0</v>
      </c>
      <c r="E42" s="41">
        <f>SUM(E34:E41)</f>
        <v>3756.8</v>
      </c>
      <c r="F42" s="41">
        <f>SUM(F34:F41)</f>
        <v>0</v>
      </c>
      <c r="G42" s="41">
        <f>SUM(G34:G41)</f>
        <v>1134.43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132720.22999999998</v>
      </c>
      <c r="D43" s="41">
        <f>D42+D32</f>
        <v>721.69</v>
      </c>
      <c r="E43" s="41">
        <f>E42+E32</f>
        <v>44864.94</v>
      </c>
      <c r="F43" s="41">
        <f>F42+F32</f>
        <v>0</v>
      </c>
      <c r="G43" s="41">
        <f>G42+G32</f>
        <v>1134.43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2410257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650.22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2.6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31236.1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25055.72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25705.940000000002</v>
      </c>
      <c r="D54" s="130">
        <f>SUM(D49:D53)</f>
        <v>31236.1</v>
      </c>
      <c r="E54" s="130">
        <f>SUM(E49:E53)</f>
        <v>0</v>
      </c>
      <c r="F54" s="130">
        <f>SUM(F49:F53)</f>
        <v>0</v>
      </c>
      <c r="G54" s="130">
        <f>SUM(G49:G53)</f>
        <v>2.6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2435962.94</v>
      </c>
      <c r="D55" s="22">
        <f>D48+D54</f>
        <v>31236.1</v>
      </c>
      <c r="E55" s="22">
        <f>E48+E54</f>
        <v>0</v>
      </c>
      <c r="F55" s="22">
        <f>F48+F54</f>
        <v>0</v>
      </c>
      <c r="G55" s="22">
        <f>G48+G54</f>
        <v>2.6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253234.26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550821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9184.74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813240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833.42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833.42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813240</v>
      </c>
      <c r="D73" s="130">
        <f>SUM(D71:D72)+D70+D62</f>
        <v>833.42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35159.339999999997</v>
      </c>
      <c r="D80" s="95">
        <f>SUM('DOE25'!G145:G153)</f>
        <v>31962.81</v>
      </c>
      <c r="E80" s="95">
        <f>SUM('DOE25'!H145:H153)</f>
        <v>65572.179999999993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11698.17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46857.509999999995</v>
      </c>
      <c r="D83" s="131">
        <f>SUM(D77:D82)</f>
        <v>31962.81</v>
      </c>
      <c r="E83" s="131">
        <f>SUM(E77:E82)</f>
        <v>65572.179999999993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1387000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19645.080000000002</v>
      </c>
      <c r="E88" s="95">
        <f>'DOE25'!H171</f>
        <v>0</v>
      </c>
      <c r="F88" s="95">
        <f>'DOE25'!I171</f>
        <v>39919.730000000003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1387000</v>
      </c>
      <c r="D95" s="86">
        <f>SUM(D85:D94)</f>
        <v>19645.080000000002</v>
      </c>
      <c r="E95" s="86">
        <f>SUM(E85:E94)</f>
        <v>0</v>
      </c>
      <c r="F95" s="86">
        <f>SUM(F85:F94)</f>
        <v>39919.730000000003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4683060.4499999993</v>
      </c>
      <c r="D96" s="86">
        <f>D55+D73+D83+D95</f>
        <v>83677.41</v>
      </c>
      <c r="E96" s="86">
        <f>E55+E73+E83+E95</f>
        <v>65572.179999999993</v>
      </c>
      <c r="F96" s="86">
        <f>F55+F73+F83+F95</f>
        <v>39919.730000000003</v>
      </c>
      <c r="G96" s="86">
        <f>G55+G73+G95</f>
        <v>2.6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1476950.8199999998</v>
      </c>
      <c r="D101" s="24" t="s">
        <v>312</v>
      </c>
      <c r="E101" s="95">
        <f>('DOE25'!L268)+('DOE25'!L287)+('DOE25'!L306)</f>
        <v>29856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598085.01</v>
      </c>
      <c r="D102" s="24" t="s">
        <v>312</v>
      </c>
      <c r="E102" s="95">
        <f>('DOE25'!L269)+('DOE25'!L288)+('DOE25'!L307)</f>
        <v>33721.24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46700.85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2121736.6799999997</v>
      </c>
      <c r="D107" s="86">
        <f>SUM(D101:D106)</f>
        <v>0</v>
      </c>
      <c r="E107" s="86">
        <f>SUM(E101:E106)</f>
        <v>63577.24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240962.65000000002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57850.94</v>
      </c>
      <c r="D111" s="24" t="s">
        <v>312</v>
      </c>
      <c r="E111" s="95">
        <f>+('DOE25'!L274)+('DOE25'!L293)+('DOE25'!L312)</f>
        <v>837.75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137818.32999999999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222322.31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144</v>
      </c>
      <c r="D114" s="24" t="s">
        <v>312</v>
      </c>
      <c r="E114" s="95">
        <f>+('DOE25'!L277)+('DOE25'!L296)+('DOE25'!L315)</f>
        <v>237.07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336184.42000000004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109328.79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920.15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83677.41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1104611.44</v>
      </c>
      <c r="D120" s="86">
        <f>SUM(D110:D119)</f>
        <v>83677.41</v>
      </c>
      <c r="E120" s="86">
        <f>SUM(E110:E119)</f>
        <v>1994.9699999999998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1446842.69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20527.599999999999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19645.080000000002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39919.730000000003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2.6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-2.6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1526935.1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4753283.22</v>
      </c>
      <c r="D137" s="86">
        <f>(D107+D120+D136)</f>
        <v>83677.41</v>
      </c>
      <c r="E137" s="86">
        <f>(E107+E120+E136)</f>
        <v>65572.209999999992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1387000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2.4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1387000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1387000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1387000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1387000</v>
      </c>
    </row>
    <row r="152" spans="1:7" x14ac:dyDescent="0.2">
      <c r="A152" s="22" t="s">
        <v>36</v>
      </c>
      <c r="B152" s="137">
        <f>'DOE25'!F489</f>
        <v>85236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85236</v>
      </c>
    </row>
    <row r="153" spans="1:7" x14ac:dyDescent="0.2">
      <c r="A153" s="22" t="s">
        <v>37</v>
      </c>
      <c r="B153" s="137">
        <f>'DOE25'!F490</f>
        <v>1472236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1472236</v>
      </c>
    </row>
    <row r="154" spans="1:7" x14ac:dyDescent="0.2">
      <c r="A154" s="22" t="s">
        <v>38</v>
      </c>
      <c r="B154" s="137">
        <f>'DOE25'!F491</f>
        <v>277400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277400</v>
      </c>
    </row>
    <row r="155" spans="1:7" x14ac:dyDescent="0.2">
      <c r="A155" s="22" t="s">
        <v>39</v>
      </c>
      <c r="B155" s="137">
        <f>'DOE25'!F492</f>
        <v>31272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31272</v>
      </c>
    </row>
    <row r="156" spans="1:7" x14ac:dyDescent="0.2">
      <c r="A156" s="22" t="s">
        <v>269</v>
      </c>
      <c r="B156" s="137">
        <f>'DOE25'!F493</f>
        <v>308672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308672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C0A9-91BD-4B33-8A9B-1CE1D01E4165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Thornton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16223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16223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1506807</v>
      </c>
      <c r="D10" s="182">
        <f>ROUND((C10/$C$28)*100,1)</f>
        <v>44.8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631806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46701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240963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58689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138738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222322</v>
      </c>
      <c r="D18" s="182">
        <f t="shared" si="0"/>
        <v>6.6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381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336184</v>
      </c>
      <c r="D20" s="182">
        <f t="shared" si="0"/>
        <v>10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109329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20528</v>
      </c>
      <c r="D25" s="182">
        <f t="shared" si="0"/>
        <v>0.6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52440.9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3364888.9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1446843</v>
      </c>
    </row>
    <row r="30" spans="1:4" x14ac:dyDescent="0.2">
      <c r="B30" s="187" t="s">
        <v>760</v>
      </c>
      <c r="C30" s="180">
        <f>SUM(C28:C29)</f>
        <v>4811731.9000000004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2410257</v>
      </c>
      <c r="D35" s="182">
        <f t="shared" ref="D35:D40" si="1">ROUND((C35/$C$41)*100,1)</f>
        <v>71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25708.540000000037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813240</v>
      </c>
      <c r="D37" s="182">
        <f t="shared" si="1"/>
        <v>24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833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144393</v>
      </c>
      <c r="D39" s="182">
        <f t="shared" si="1"/>
        <v>4.3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3394431.54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1387000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50AA-D214-43A7-9181-33D1F4DE6AB5}">
  <sheetPr>
    <tabColor indexed="17"/>
  </sheetPr>
  <dimension ref="A1:IV90"/>
  <sheetViews>
    <sheetView workbookViewId="0">
      <pane ySplit="3" topLeftCell="A4" activePane="bottomLeft" state="frozen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Thornton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3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19</v>
      </c>
      <c r="B5" s="220">
        <v>6</v>
      </c>
      <c r="C5" s="280" t="s">
        <v>898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2011-11-03T18:43:42Z</cp:lastPrinted>
  <dcterms:created xsi:type="dcterms:W3CDTF">1997-12-04T19:04:30Z</dcterms:created>
  <dcterms:modified xsi:type="dcterms:W3CDTF">2025-01-10T20:26:33Z</dcterms:modified>
</cp:coreProperties>
</file>