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5EAED55-CDF0-4934-AA60-D0B4A13BB492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0019AF69-E2E3-423B-989D-16FA72C6D58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B21" i="12"/>
  <c r="H559" i="1"/>
  <c r="I558" i="1"/>
  <c r="F488" i="1"/>
  <c r="I189" i="1"/>
  <c r="L189" i="1" s="1"/>
  <c r="F269" i="1"/>
  <c r="F359" i="1"/>
  <c r="F109" i="1"/>
  <c r="F49" i="1"/>
  <c r="F52" i="1" s="1"/>
  <c r="H13" i="1"/>
  <c r="F462" i="1"/>
  <c r="H622" i="1" s="1"/>
  <c r="B39" i="12"/>
  <c r="B12" i="12"/>
  <c r="F42" i="1"/>
  <c r="F13" i="1"/>
  <c r="F9" i="1"/>
  <c r="J594" i="1"/>
  <c r="G462" i="1"/>
  <c r="H146" i="1"/>
  <c r="H458" i="1"/>
  <c r="H151" i="1"/>
  <c r="H154" i="1" s="1"/>
  <c r="H161" i="1" s="1"/>
  <c r="H147" i="1"/>
  <c r="E80" i="2" s="1"/>
  <c r="H102" i="1"/>
  <c r="E53" i="2" s="1"/>
  <c r="H462" i="1"/>
  <c r="H623" i="1" s="1"/>
  <c r="H327" i="1"/>
  <c r="H247" i="1"/>
  <c r="L247" i="1" s="1"/>
  <c r="H23" i="1"/>
  <c r="H31" i="1"/>
  <c r="H93" i="1"/>
  <c r="H88" i="1"/>
  <c r="H9" i="1"/>
  <c r="E9" i="2" s="1"/>
  <c r="E19" i="2" s="1"/>
  <c r="G150" i="1"/>
  <c r="D80" i="2" s="1"/>
  <c r="D83" i="2" s="1"/>
  <c r="G89" i="1"/>
  <c r="D52" i="2" s="1"/>
  <c r="G9" i="1"/>
  <c r="C37" i="10"/>
  <c r="F55" i="1"/>
  <c r="F51" i="1"/>
  <c r="C60" i="2"/>
  <c r="B2" i="13"/>
  <c r="F8" i="13"/>
  <c r="G8" i="13"/>
  <c r="L196" i="1"/>
  <c r="L214" i="1"/>
  <c r="E8" i="13" s="1"/>
  <c r="L232" i="1"/>
  <c r="D39" i="13"/>
  <c r="F13" i="13"/>
  <c r="G13" i="13"/>
  <c r="L198" i="1"/>
  <c r="L216" i="1"/>
  <c r="L234" i="1"/>
  <c r="F16" i="13"/>
  <c r="G16" i="13"/>
  <c r="L201" i="1"/>
  <c r="L219" i="1"/>
  <c r="L237" i="1"/>
  <c r="C117" i="2" s="1"/>
  <c r="F5" i="13"/>
  <c r="G5" i="13"/>
  <c r="D5" i="13" s="1"/>
  <c r="L190" i="1"/>
  <c r="L191" i="1"/>
  <c r="L192" i="1"/>
  <c r="L207" i="1"/>
  <c r="L208" i="1"/>
  <c r="L209" i="1"/>
  <c r="L210" i="1"/>
  <c r="L225" i="1"/>
  <c r="L226" i="1"/>
  <c r="L239" i="1" s="1"/>
  <c r="H650" i="1" s="1"/>
  <c r="L227" i="1"/>
  <c r="C12" i="10" s="1"/>
  <c r="L228" i="1"/>
  <c r="C104" i="2" s="1"/>
  <c r="F6" i="13"/>
  <c r="G6" i="13"/>
  <c r="L194" i="1"/>
  <c r="L212" i="1"/>
  <c r="L230" i="1"/>
  <c r="F7" i="13"/>
  <c r="G7" i="13"/>
  <c r="L195" i="1"/>
  <c r="L213" i="1"/>
  <c r="L231" i="1"/>
  <c r="D7" i="13" s="1"/>
  <c r="C7" i="13" s="1"/>
  <c r="F12" i="13"/>
  <c r="D12" i="13" s="1"/>
  <c r="C12" i="13" s="1"/>
  <c r="G12" i="13"/>
  <c r="L197" i="1"/>
  <c r="L215" i="1"/>
  <c r="L233" i="1"/>
  <c r="F14" i="13"/>
  <c r="G14" i="13"/>
  <c r="L199" i="1"/>
  <c r="L217" i="1"/>
  <c r="L235" i="1"/>
  <c r="F15" i="13"/>
  <c r="G15" i="13"/>
  <c r="L200" i="1"/>
  <c r="F652" i="1" s="1"/>
  <c r="L218" i="1"/>
  <c r="G640" i="1" s="1"/>
  <c r="L236" i="1"/>
  <c r="H652" i="1" s="1"/>
  <c r="F17" i="13"/>
  <c r="G17" i="13"/>
  <c r="L243" i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1" i="1"/>
  <c r="L352" i="1"/>
  <c r="I359" i="1"/>
  <c r="J282" i="1"/>
  <c r="J330" i="1" s="1"/>
  <c r="J344" i="1" s="1"/>
  <c r="J301" i="1"/>
  <c r="J320" i="1"/>
  <c r="K282" i="1"/>
  <c r="K330" i="1" s="1"/>
  <c r="K344" i="1" s="1"/>
  <c r="K301" i="1"/>
  <c r="K320" i="1"/>
  <c r="L268" i="1"/>
  <c r="L269" i="1"/>
  <c r="L270" i="1"/>
  <c r="E103" i="2" s="1"/>
  <c r="L271" i="1"/>
  <c r="L273" i="1"/>
  <c r="L274" i="1"/>
  <c r="L282" i="1" s="1"/>
  <c r="L275" i="1"/>
  <c r="L276" i="1"/>
  <c r="C18" i="10" s="1"/>
  <c r="L277" i="1"/>
  <c r="L278" i="1"/>
  <c r="L279" i="1"/>
  <c r="L280" i="1"/>
  <c r="L287" i="1"/>
  <c r="L288" i="1"/>
  <c r="L289" i="1"/>
  <c r="L290" i="1"/>
  <c r="L292" i="1"/>
  <c r="L301" i="1" s="1"/>
  <c r="L293" i="1"/>
  <c r="L294" i="1"/>
  <c r="E112" i="2" s="1"/>
  <c r="L295" i="1"/>
  <c r="L296" i="1"/>
  <c r="L297" i="1"/>
  <c r="L298" i="1"/>
  <c r="L299" i="1"/>
  <c r="L306" i="1"/>
  <c r="L307" i="1"/>
  <c r="L308" i="1"/>
  <c r="L309" i="1"/>
  <c r="L311" i="1"/>
  <c r="L320" i="1" s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C32" i="10" s="1"/>
  <c r="L253" i="1"/>
  <c r="C25" i="10" s="1"/>
  <c r="L333" i="1"/>
  <c r="L343" i="1" s="1"/>
  <c r="L334" i="1"/>
  <c r="L328" i="1"/>
  <c r="C11" i="13"/>
  <c r="C10" i="13"/>
  <c r="C9" i="13"/>
  <c r="L353" i="1"/>
  <c r="B4" i="12"/>
  <c r="B36" i="12"/>
  <c r="C36" i="12"/>
  <c r="C37" i="12"/>
  <c r="C39" i="12" s="1"/>
  <c r="C40" i="12" s="1"/>
  <c r="A40" i="12" s="1"/>
  <c r="B40" i="12"/>
  <c r="B27" i="12"/>
  <c r="A31" i="12" s="1"/>
  <c r="C27" i="12"/>
  <c r="B31" i="12"/>
  <c r="C31" i="12"/>
  <c r="B9" i="12"/>
  <c r="C9" i="12"/>
  <c r="C10" i="12" s="1"/>
  <c r="B13" i="12"/>
  <c r="B18" i="12"/>
  <c r="C18" i="12"/>
  <c r="B22" i="12"/>
  <c r="B1" i="12"/>
  <c r="L379" i="1"/>
  <c r="L380" i="1"/>
  <c r="L385" i="1" s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1" i="2"/>
  <c r="G53" i="2"/>
  <c r="G54" i="2" s="1"/>
  <c r="F2" i="11"/>
  <c r="L603" i="1"/>
  <c r="H653" i="1" s="1"/>
  <c r="L602" i="1"/>
  <c r="G653" i="1"/>
  <c r="L601" i="1"/>
  <c r="L604" i="1" s="1"/>
  <c r="F653" i="1"/>
  <c r="C40" i="10"/>
  <c r="G52" i="1"/>
  <c r="H52" i="1"/>
  <c r="E48" i="2" s="1"/>
  <c r="I52" i="1"/>
  <c r="F71" i="1"/>
  <c r="C49" i="2" s="1"/>
  <c r="F86" i="1"/>
  <c r="C50" i="2" s="1"/>
  <c r="F103" i="1"/>
  <c r="H71" i="1"/>
  <c r="H86" i="1"/>
  <c r="I103" i="1"/>
  <c r="I104" i="1"/>
  <c r="J103" i="1"/>
  <c r="J104" i="1"/>
  <c r="F113" i="1"/>
  <c r="F132" i="1" s="1"/>
  <c r="F128" i="1"/>
  <c r="G113" i="1"/>
  <c r="G128" i="1"/>
  <c r="G132" i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/>
  <c r="G139" i="1"/>
  <c r="H139" i="1"/>
  <c r="E77" i="2" s="1"/>
  <c r="E83" i="2" s="1"/>
  <c r="I139" i="1"/>
  <c r="I154" i="1"/>
  <c r="I161" i="1" s="1"/>
  <c r="C19" i="10"/>
  <c r="L242" i="1"/>
  <c r="C105" i="2" s="1"/>
  <c r="L324" i="1"/>
  <c r="E105" i="2" s="1"/>
  <c r="L246" i="1"/>
  <c r="L260" i="1"/>
  <c r="L261" i="1"/>
  <c r="L341" i="1"/>
  <c r="L342" i="1"/>
  <c r="E135" i="2"/>
  <c r="I655" i="1"/>
  <c r="I660" i="1"/>
  <c r="I659" i="1"/>
  <c r="C42" i="10"/>
  <c r="L366" i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L512" i="1"/>
  <c r="F540" i="1" s="1"/>
  <c r="L513" i="1"/>
  <c r="F541" i="1"/>
  <c r="L516" i="1"/>
  <c r="L519" i="1" s="1"/>
  <c r="G539" i="1"/>
  <c r="K539" i="1" s="1"/>
  <c r="L517" i="1"/>
  <c r="G540" i="1" s="1"/>
  <c r="L518" i="1"/>
  <c r="G541" i="1" s="1"/>
  <c r="L521" i="1"/>
  <c r="H539" i="1"/>
  <c r="L522" i="1"/>
  <c r="H540" i="1" s="1"/>
  <c r="H542" i="1" s="1"/>
  <c r="L523" i="1"/>
  <c r="H541" i="1"/>
  <c r="L526" i="1"/>
  <c r="L529" i="1" s="1"/>
  <c r="I539" i="1"/>
  <c r="I542" i="1" s="1"/>
  <c r="L527" i="1"/>
  <c r="I540" i="1" s="1"/>
  <c r="L528" i="1"/>
  <c r="I541" i="1" s="1"/>
  <c r="L531" i="1"/>
  <c r="J539" i="1"/>
  <c r="L532" i="1"/>
  <c r="J540" i="1" s="1"/>
  <c r="J542" i="1" s="1"/>
  <c r="L533" i="1"/>
  <c r="J541" i="1"/>
  <c r="E124" i="2"/>
  <c r="E123" i="2"/>
  <c r="K262" i="1"/>
  <c r="J262" i="1"/>
  <c r="I262" i="1"/>
  <c r="H262" i="1"/>
  <c r="G262" i="1"/>
  <c r="F262" i="1"/>
  <c r="A1" i="2"/>
  <c r="A2" i="2"/>
  <c r="C9" i="2"/>
  <c r="D9" i="2"/>
  <c r="D19" i="2" s="1"/>
  <c r="F9" i="2"/>
  <c r="I431" i="1"/>
  <c r="J9" i="1" s="1"/>
  <c r="C10" i="2"/>
  <c r="D10" i="2"/>
  <c r="E10" i="2"/>
  <c r="F10" i="2"/>
  <c r="I432" i="1"/>
  <c r="I438" i="1" s="1"/>
  <c r="G632" i="1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E22" i="2"/>
  <c r="F22" i="2"/>
  <c r="F32" i="2" s="1"/>
  <c r="I440" i="1"/>
  <c r="I444" i="1" s="1"/>
  <c r="I451" i="1" s="1"/>
  <c r="H632" i="1" s="1"/>
  <c r="J23" i="1"/>
  <c r="G22" i="2" s="1"/>
  <c r="C23" i="2"/>
  <c r="D23" i="2"/>
  <c r="E23" i="2"/>
  <c r="F23" i="2"/>
  <c r="I441" i="1"/>
  <c r="J24" i="1" s="1"/>
  <c r="G23" i="2" s="1"/>
  <c r="C24" i="2"/>
  <c r="D24" i="2"/>
  <c r="D32" i="2" s="1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E32" i="2" s="1"/>
  <c r="F30" i="2"/>
  <c r="C31" i="2"/>
  <c r="D31" i="2"/>
  <c r="E31" i="2"/>
  <c r="F31" i="2"/>
  <c r="I443" i="1"/>
  <c r="J32" i="1"/>
  <c r="G31" i="2"/>
  <c r="C34" i="2"/>
  <c r="D34" i="2"/>
  <c r="E34" i="2"/>
  <c r="F34" i="2"/>
  <c r="F42" i="2" s="1"/>
  <c r="C35" i="2"/>
  <c r="D35" i="2"/>
  <c r="D42" i="2" s="1"/>
  <c r="D43" i="2" s="1"/>
  <c r="E35" i="2"/>
  <c r="F35" i="2"/>
  <c r="C36" i="2"/>
  <c r="D36" i="2"/>
  <c r="E36" i="2"/>
  <c r="F36" i="2"/>
  <c r="I446" i="1"/>
  <c r="J37" i="1"/>
  <c r="C37" i="2"/>
  <c r="D37" i="2"/>
  <c r="E37" i="2"/>
  <c r="E42" i="2" s="1"/>
  <c r="E43" i="2" s="1"/>
  <c r="F37" i="2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F40" i="2"/>
  <c r="F41" i="2"/>
  <c r="I449" i="1"/>
  <c r="J41" i="1" s="1"/>
  <c r="G40" i="2" s="1"/>
  <c r="C41" i="2"/>
  <c r="C42" i="2" s="1"/>
  <c r="C43" i="2" s="1"/>
  <c r="C32" i="2"/>
  <c r="D41" i="2"/>
  <c r="E41" i="2"/>
  <c r="F48" i="2"/>
  <c r="E49" i="2"/>
  <c r="E50" i="2"/>
  <c r="C51" i="2"/>
  <c r="D51" i="2"/>
  <c r="E51" i="2"/>
  <c r="E54" i="2" s="1"/>
  <c r="F51" i="2"/>
  <c r="F54" i="2" s="1"/>
  <c r="F55" i="2" s="1"/>
  <c r="C53" i="2"/>
  <c r="D53" i="2"/>
  <c r="F53" i="2"/>
  <c r="C58" i="2"/>
  <c r="C59" i="2"/>
  <c r="C61" i="2"/>
  <c r="D61" i="2"/>
  <c r="D62" i="2" s="1"/>
  <c r="D73" i="2" s="1"/>
  <c r="E61" i="2"/>
  <c r="E62" i="2" s="1"/>
  <c r="F61" i="2"/>
  <c r="F62" i="2"/>
  <c r="G61" i="2"/>
  <c r="G62" i="2"/>
  <c r="C64" i="2"/>
  <c r="C70" i="2" s="1"/>
  <c r="C73" i="2" s="1"/>
  <c r="F64" i="2"/>
  <c r="C65" i="2"/>
  <c r="F65" i="2"/>
  <c r="C66" i="2"/>
  <c r="C67" i="2"/>
  <c r="C68" i="2"/>
  <c r="E68" i="2"/>
  <c r="F68" i="2"/>
  <c r="C69" i="2"/>
  <c r="D69" i="2"/>
  <c r="D70" i="2"/>
  <c r="E69" i="2"/>
  <c r="F69" i="2"/>
  <c r="G69" i="2"/>
  <c r="G70" i="2" s="1"/>
  <c r="G73" i="2" s="1"/>
  <c r="E70" i="2"/>
  <c r="E73" i="2" s="1"/>
  <c r="E71" i="2"/>
  <c r="E72" i="2"/>
  <c r="C71" i="2"/>
  <c r="D71" i="2"/>
  <c r="C72" i="2"/>
  <c r="C77" i="2"/>
  <c r="D77" i="2"/>
  <c r="F77" i="2"/>
  <c r="C79" i="2"/>
  <c r="C83" i="2" s="1"/>
  <c r="E79" i="2"/>
  <c r="F79" i="2"/>
  <c r="F83" i="2" s="1"/>
  <c r="C80" i="2"/>
  <c r="F80" i="2"/>
  <c r="C81" i="2"/>
  <c r="D81" i="2"/>
  <c r="E81" i="2"/>
  <c r="F81" i="2"/>
  <c r="C82" i="2"/>
  <c r="C85" i="2"/>
  <c r="C95" i="2" s="1"/>
  <c r="F85" i="2"/>
  <c r="C86" i="2"/>
  <c r="F86" i="2"/>
  <c r="D88" i="2"/>
  <c r="E88" i="2"/>
  <c r="F88" i="2"/>
  <c r="G88" i="2"/>
  <c r="G95" i="2" s="1"/>
  <c r="C89" i="2"/>
  <c r="D89" i="2"/>
  <c r="E89" i="2"/>
  <c r="E95" i="2" s="1"/>
  <c r="F89" i="2"/>
  <c r="G89" i="2"/>
  <c r="G90" i="2"/>
  <c r="C90" i="2"/>
  <c r="D90" i="2"/>
  <c r="E90" i="2"/>
  <c r="C91" i="2"/>
  <c r="D91" i="2"/>
  <c r="E91" i="2"/>
  <c r="F91" i="2"/>
  <c r="C92" i="2"/>
  <c r="D92" i="2"/>
  <c r="D95" i="2" s="1"/>
  <c r="E92" i="2"/>
  <c r="F92" i="2"/>
  <c r="C93" i="2"/>
  <c r="D93" i="2"/>
  <c r="E93" i="2"/>
  <c r="F93" i="2"/>
  <c r="C94" i="2"/>
  <c r="D94" i="2"/>
  <c r="E94" i="2"/>
  <c r="F94" i="2"/>
  <c r="C103" i="2"/>
  <c r="D107" i="2"/>
  <c r="F107" i="2"/>
  <c r="G107" i="2"/>
  <c r="E114" i="2"/>
  <c r="E115" i="2"/>
  <c r="E116" i="2"/>
  <c r="E117" i="2"/>
  <c r="F120" i="2"/>
  <c r="G120" i="2"/>
  <c r="E122" i="2"/>
  <c r="D126" i="2"/>
  <c r="D136" i="2" s="1"/>
  <c r="D137" i="2" s="1"/>
  <c r="E126" i="2"/>
  <c r="F126" i="2"/>
  <c r="K411" i="1"/>
  <c r="K426" i="1" s="1"/>
  <c r="G126" i="2" s="1"/>
  <c r="G136" i="2" s="1"/>
  <c r="K419" i="1"/>
  <c r="K425" i="1"/>
  <c r="L255" i="1"/>
  <c r="C127" i="2" s="1"/>
  <c r="L256" i="1"/>
  <c r="C128" i="2" s="1"/>
  <c r="L257" i="1"/>
  <c r="C129" i="2" s="1"/>
  <c r="E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 s="1"/>
  <c r="I490" i="1"/>
  <c r="E153" i="2" s="1"/>
  <c r="J490" i="1"/>
  <c r="F153" i="2" s="1"/>
  <c r="B154" i="2"/>
  <c r="C154" i="2"/>
  <c r="D154" i="2"/>
  <c r="E154" i="2"/>
  <c r="F154" i="2"/>
  <c r="B155" i="2"/>
  <c r="C155" i="2"/>
  <c r="D155" i="2"/>
  <c r="E155" i="2"/>
  <c r="F155" i="2"/>
  <c r="G155" i="2" s="1"/>
  <c r="F493" i="1"/>
  <c r="K493" i="1" s="1"/>
  <c r="B156" i="2"/>
  <c r="G156" i="2" s="1"/>
  <c r="G493" i="1"/>
  <c r="C156" i="2" s="1"/>
  <c r="H493" i="1"/>
  <c r="D156" i="2" s="1"/>
  <c r="I493" i="1"/>
  <c r="E156" i="2" s="1"/>
  <c r="J493" i="1"/>
  <c r="F156" i="2" s="1"/>
  <c r="F19" i="1"/>
  <c r="G607" i="1" s="1"/>
  <c r="G19" i="1"/>
  <c r="G608" i="1"/>
  <c r="I19" i="1"/>
  <c r="G610" i="1" s="1"/>
  <c r="F33" i="1"/>
  <c r="G33" i="1"/>
  <c r="H33" i="1"/>
  <c r="I33" i="1"/>
  <c r="F43" i="1"/>
  <c r="G43" i="1"/>
  <c r="G613" i="1" s="1"/>
  <c r="H43" i="1"/>
  <c r="G614" i="1" s="1"/>
  <c r="I43" i="1"/>
  <c r="I44" i="1" s="1"/>
  <c r="H610" i="1" s="1"/>
  <c r="F169" i="1"/>
  <c r="I169" i="1"/>
  <c r="F175" i="1"/>
  <c r="G175" i="1"/>
  <c r="G184" i="1"/>
  <c r="H175" i="1"/>
  <c r="H184" i="1" s="1"/>
  <c r="I175" i="1"/>
  <c r="J175" i="1"/>
  <c r="G635" i="1" s="1"/>
  <c r="J635" i="1" s="1"/>
  <c r="F180" i="1"/>
  <c r="G180" i="1"/>
  <c r="H180" i="1"/>
  <c r="I180" i="1"/>
  <c r="F184" i="1"/>
  <c r="F203" i="1"/>
  <c r="G203" i="1"/>
  <c r="G249" i="1" s="1"/>
  <c r="G263" i="1" s="1"/>
  <c r="H203" i="1"/>
  <c r="I203" i="1"/>
  <c r="J203" i="1"/>
  <c r="J249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I248" i="1"/>
  <c r="J248" i="1"/>
  <c r="K248" i="1"/>
  <c r="L262" i="1"/>
  <c r="F282" i="1"/>
  <c r="G282" i="1"/>
  <c r="G330" i="1" s="1"/>
  <c r="G344" i="1" s="1"/>
  <c r="H282" i="1"/>
  <c r="I282" i="1"/>
  <c r="F301" i="1"/>
  <c r="F330" i="1" s="1"/>
  <c r="F344" i="1" s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F354" i="1"/>
  <c r="G354" i="1"/>
  <c r="H354" i="1"/>
  <c r="I354" i="1"/>
  <c r="G62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I400" i="1" s="1"/>
  <c r="F393" i="1"/>
  <c r="G393" i="1"/>
  <c r="H393" i="1"/>
  <c r="I393" i="1"/>
  <c r="F399" i="1"/>
  <c r="G399" i="1"/>
  <c r="H399" i="1"/>
  <c r="I399" i="1"/>
  <c r="F400" i="1"/>
  <c r="H633" i="1" s="1"/>
  <c r="J633" i="1" s="1"/>
  <c r="G400" i="1"/>
  <c r="H635" i="1" s="1"/>
  <c r="L405" i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26" i="1"/>
  <c r="F438" i="1"/>
  <c r="G438" i="1"/>
  <c r="G630" i="1"/>
  <c r="H438" i="1"/>
  <c r="F444" i="1"/>
  <c r="F451" i="1" s="1"/>
  <c r="H629" i="1" s="1"/>
  <c r="J629" i="1" s="1"/>
  <c r="G444" i="1"/>
  <c r="G451" i="1" s="1"/>
  <c r="H630" i="1" s="1"/>
  <c r="J630" i="1" s="1"/>
  <c r="H444" i="1"/>
  <c r="H451" i="1" s="1"/>
  <c r="H631" i="1" s="1"/>
  <c r="F450" i="1"/>
  <c r="G450" i="1"/>
  <c r="H450" i="1"/>
  <c r="I450" i="1"/>
  <c r="F460" i="1"/>
  <c r="G460" i="1"/>
  <c r="G466" i="1" s="1"/>
  <c r="H613" i="1" s="1"/>
  <c r="H460" i="1"/>
  <c r="I460" i="1"/>
  <c r="J460" i="1"/>
  <c r="G464" i="1"/>
  <c r="H464" i="1"/>
  <c r="H466" i="1" s="1"/>
  <c r="H614" i="1" s="1"/>
  <c r="I464" i="1"/>
  <c r="I466" i="1" s="1"/>
  <c r="H615" i="1" s="1"/>
  <c r="J464" i="1"/>
  <c r="J466" i="1" s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J514" i="1"/>
  <c r="K514" i="1"/>
  <c r="L514" i="1"/>
  <c r="F519" i="1"/>
  <c r="G519" i="1"/>
  <c r="H519" i="1"/>
  <c r="I519" i="1"/>
  <c r="I535" i="1" s="1"/>
  <c r="J519" i="1"/>
  <c r="K519" i="1"/>
  <c r="F524" i="1"/>
  <c r="G524" i="1"/>
  <c r="H524" i="1"/>
  <c r="I524" i="1"/>
  <c r="J524" i="1"/>
  <c r="J535" i="1" s="1"/>
  <c r="K524" i="1"/>
  <c r="L524" i="1"/>
  <c r="F529" i="1"/>
  <c r="F535" i="1" s="1"/>
  <c r="G529" i="1"/>
  <c r="G535" i="1" s="1"/>
  <c r="H529" i="1"/>
  <c r="I529" i="1"/>
  <c r="J529" i="1"/>
  <c r="K529" i="1"/>
  <c r="F534" i="1"/>
  <c r="G534" i="1"/>
  <c r="H534" i="1"/>
  <c r="I534" i="1"/>
  <c r="J534" i="1"/>
  <c r="K534" i="1"/>
  <c r="K535" i="1" s="1"/>
  <c r="L534" i="1"/>
  <c r="L547" i="1"/>
  <c r="L548" i="1"/>
  <c r="L549" i="1"/>
  <c r="F550" i="1"/>
  <c r="G550" i="1"/>
  <c r="H550" i="1"/>
  <c r="I550" i="1"/>
  <c r="J550" i="1"/>
  <c r="J561" i="1" s="1"/>
  <c r="K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F561" i="1" s="1"/>
  <c r="G560" i="1"/>
  <c r="G561" i="1" s="1"/>
  <c r="H560" i="1"/>
  <c r="I560" i="1"/>
  <c r="J560" i="1"/>
  <c r="K560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/>
  <c r="I588" i="1"/>
  <c r="H640" i="1" s="1"/>
  <c r="J588" i="1"/>
  <c r="H641" i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2" i="1"/>
  <c r="H617" i="1"/>
  <c r="H618" i="1"/>
  <c r="H619" i="1"/>
  <c r="H620" i="1"/>
  <c r="H621" i="1"/>
  <c r="H625" i="1"/>
  <c r="H626" i="1"/>
  <c r="H627" i="1"/>
  <c r="H628" i="1"/>
  <c r="G629" i="1"/>
  <c r="G631" i="1"/>
  <c r="G633" i="1"/>
  <c r="G634" i="1"/>
  <c r="G639" i="1"/>
  <c r="J639" i="1" s="1"/>
  <c r="G641" i="1"/>
  <c r="G642" i="1"/>
  <c r="H642" i="1"/>
  <c r="J642" i="1"/>
  <c r="G643" i="1"/>
  <c r="J643" i="1" s="1"/>
  <c r="H643" i="1"/>
  <c r="G644" i="1"/>
  <c r="H644" i="1"/>
  <c r="J644" i="1"/>
  <c r="G645" i="1"/>
  <c r="H645" i="1"/>
  <c r="L354" i="1"/>
  <c r="G625" i="1"/>
  <c r="J625" i="1"/>
  <c r="D29" i="13"/>
  <c r="C29" i="13" s="1"/>
  <c r="E101" i="2"/>
  <c r="E104" i="2"/>
  <c r="G31" i="13"/>
  <c r="I330" i="1"/>
  <c r="I344" i="1" s="1"/>
  <c r="H248" i="1"/>
  <c r="H249" i="1" s="1"/>
  <c r="H263" i="1" s="1"/>
  <c r="D14" i="13"/>
  <c r="C14" i="13" s="1"/>
  <c r="I249" i="1"/>
  <c r="I263" i="1" s="1"/>
  <c r="E13" i="13"/>
  <c r="C114" i="2"/>
  <c r="H44" i="1"/>
  <c r="H609" i="1" s="1"/>
  <c r="F44" i="1"/>
  <c r="H607" i="1"/>
  <c r="F19" i="2"/>
  <c r="D6" i="13"/>
  <c r="C6" i="13"/>
  <c r="F122" i="2"/>
  <c r="F136" i="2"/>
  <c r="F137" i="2" s="1"/>
  <c r="L374" i="1"/>
  <c r="G626" i="1" s="1"/>
  <c r="J626" i="1" s="1"/>
  <c r="H561" i="1"/>
  <c r="H330" i="1"/>
  <c r="H344" i="1" s="1"/>
  <c r="F249" i="1"/>
  <c r="F263" i="1"/>
  <c r="G154" i="2"/>
  <c r="F95" i="2"/>
  <c r="F70" i="2"/>
  <c r="F73" i="2" s="1"/>
  <c r="G36" i="2"/>
  <c r="I184" i="1"/>
  <c r="C62" i="2"/>
  <c r="C19" i="2"/>
  <c r="C26" i="10"/>
  <c r="D119" i="2"/>
  <c r="D120" i="2"/>
  <c r="C115" i="2"/>
  <c r="C113" i="2"/>
  <c r="C110" i="2"/>
  <c r="E102" i="2"/>
  <c r="C20" i="10"/>
  <c r="C13" i="13"/>
  <c r="H535" i="1"/>
  <c r="J645" i="1"/>
  <c r="L550" i="1"/>
  <c r="L561" i="1" s="1"/>
  <c r="L329" i="1"/>
  <c r="L411" i="1"/>
  <c r="C20" i="12"/>
  <c r="J631" i="1" l="1"/>
  <c r="J613" i="1"/>
  <c r="J640" i="1"/>
  <c r="G32" i="2"/>
  <c r="E107" i="2"/>
  <c r="G42" i="2"/>
  <c r="G153" i="2"/>
  <c r="J43" i="1"/>
  <c r="G37" i="2"/>
  <c r="C54" i="2"/>
  <c r="C11" i="12"/>
  <c r="C12" i="12"/>
  <c r="C13" i="12"/>
  <c r="A13" i="12" s="1"/>
  <c r="J610" i="1"/>
  <c r="J632" i="1"/>
  <c r="L535" i="1"/>
  <c r="G55" i="2"/>
  <c r="G96" i="2" s="1"/>
  <c r="C10" i="10"/>
  <c r="C101" i="2"/>
  <c r="L203" i="1"/>
  <c r="C48" i="2"/>
  <c r="C55" i="2" s="1"/>
  <c r="C96" i="2" s="1"/>
  <c r="F104" i="1"/>
  <c r="F185" i="1" s="1"/>
  <c r="G617" i="1" s="1"/>
  <c r="J617" i="1" s="1"/>
  <c r="C35" i="10"/>
  <c r="F96" i="2"/>
  <c r="K541" i="1"/>
  <c r="K542" i="1" s="1"/>
  <c r="E55" i="2"/>
  <c r="E96" i="2" s="1"/>
  <c r="C133" i="2"/>
  <c r="J263" i="1"/>
  <c r="H638" i="1"/>
  <c r="C8" i="13"/>
  <c r="G137" i="2"/>
  <c r="F43" i="2"/>
  <c r="C38" i="10"/>
  <c r="D33" i="13"/>
  <c r="D36" i="13" s="1"/>
  <c r="C5" i="13"/>
  <c r="F33" i="13"/>
  <c r="J607" i="1"/>
  <c r="D54" i="2"/>
  <c r="F542" i="1"/>
  <c r="K540" i="1"/>
  <c r="F22" i="13"/>
  <c r="C22" i="13" s="1"/>
  <c r="C29" i="10"/>
  <c r="C122" i="2"/>
  <c r="F466" i="1"/>
  <c r="H612" i="1" s="1"/>
  <c r="J612" i="1" s="1"/>
  <c r="J185" i="1"/>
  <c r="I653" i="1"/>
  <c r="L400" i="1"/>
  <c r="C130" i="2"/>
  <c r="L330" i="1"/>
  <c r="L344" i="1" s="1"/>
  <c r="G623" i="1" s="1"/>
  <c r="J623" i="1" s="1"/>
  <c r="D31" i="13"/>
  <c r="C31" i="13" s="1"/>
  <c r="L426" i="1"/>
  <c r="G628" i="1" s="1"/>
  <c r="J628" i="1" s="1"/>
  <c r="J638" i="1"/>
  <c r="J614" i="1"/>
  <c r="G9" i="2"/>
  <c r="G19" i="2" s="1"/>
  <c r="J19" i="1"/>
  <c r="G611" i="1" s="1"/>
  <c r="E136" i="2"/>
  <c r="I185" i="1"/>
  <c r="G620" i="1" s="1"/>
  <c r="J620" i="1" s="1"/>
  <c r="E16" i="13"/>
  <c r="C16" i="13" s="1"/>
  <c r="F31" i="13"/>
  <c r="J184" i="1"/>
  <c r="E113" i="2"/>
  <c r="C102" i="2"/>
  <c r="J10" i="1"/>
  <c r="G10" i="2" s="1"/>
  <c r="G652" i="1"/>
  <c r="I652" i="1" s="1"/>
  <c r="C19" i="12"/>
  <c r="C27" i="10"/>
  <c r="G651" i="1"/>
  <c r="G542" i="1"/>
  <c r="C16" i="10"/>
  <c r="C11" i="10"/>
  <c r="L248" i="1"/>
  <c r="C112" i="2"/>
  <c r="L221" i="1"/>
  <c r="G650" i="1" s="1"/>
  <c r="C21" i="10"/>
  <c r="G33" i="13"/>
  <c r="C13" i="10"/>
  <c r="H651" i="1"/>
  <c r="H654" i="1" s="1"/>
  <c r="G615" i="1"/>
  <c r="J615" i="1" s="1"/>
  <c r="J33" i="1"/>
  <c r="E111" i="2"/>
  <c r="C123" i="2"/>
  <c r="G154" i="1"/>
  <c r="G161" i="1" s="1"/>
  <c r="C39" i="10" s="1"/>
  <c r="C111" i="2"/>
  <c r="C116" i="2"/>
  <c r="E110" i="2"/>
  <c r="E120" i="2" s="1"/>
  <c r="C124" i="2"/>
  <c r="C17" i="10"/>
  <c r="H103" i="1"/>
  <c r="H104" i="1" s="1"/>
  <c r="H185" i="1" s="1"/>
  <c r="G619" i="1" s="1"/>
  <c r="J619" i="1" s="1"/>
  <c r="C24" i="10"/>
  <c r="G44" i="1"/>
  <c r="H608" i="1" s="1"/>
  <c r="J608" i="1" s="1"/>
  <c r="C15" i="10"/>
  <c r="H25" i="13"/>
  <c r="K490" i="1"/>
  <c r="F651" i="1"/>
  <c r="F464" i="1"/>
  <c r="D48" i="2"/>
  <c r="D55" i="2" s="1"/>
  <c r="D96" i="2" s="1"/>
  <c r="H637" i="1"/>
  <c r="J637" i="1" s="1"/>
  <c r="C23" i="10"/>
  <c r="D15" i="13"/>
  <c r="C15" i="13" s="1"/>
  <c r="C106" i="2"/>
  <c r="G103" i="1"/>
  <c r="G104" i="1" s="1"/>
  <c r="H19" i="1"/>
  <c r="G609" i="1" s="1"/>
  <c r="J609" i="1" s="1"/>
  <c r="G185" i="1" l="1"/>
  <c r="G618" i="1" s="1"/>
  <c r="J618" i="1" s="1"/>
  <c r="H657" i="1"/>
  <c r="H662" i="1"/>
  <c r="C6" i="10" s="1"/>
  <c r="C25" i="13"/>
  <c r="H33" i="13"/>
  <c r="G627" i="1"/>
  <c r="J627" i="1" s="1"/>
  <c r="H636" i="1"/>
  <c r="C28" i="10"/>
  <c r="D10" i="10" s="1"/>
  <c r="D15" i="10"/>
  <c r="C22" i="12"/>
  <c r="A22" i="12" s="1"/>
  <c r="C136" i="2"/>
  <c r="G43" i="2"/>
  <c r="E137" i="2"/>
  <c r="G616" i="1"/>
  <c r="J616" i="1" s="1"/>
  <c r="J44" i="1"/>
  <c r="H611" i="1" s="1"/>
  <c r="C36" i="10"/>
  <c r="G621" i="1"/>
  <c r="J621" i="1" s="1"/>
  <c r="G636" i="1"/>
  <c r="J636" i="1" s="1"/>
  <c r="J611" i="1"/>
  <c r="G654" i="1"/>
  <c r="C120" i="2"/>
  <c r="E33" i="13"/>
  <c r="D35" i="13" s="1"/>
  <c r="C21" i="12"/>
  <c r="I651" i="1"/>
  <c r="H646" i="1"/>
  <c r="L249" i="1"/>
  <c r="L263" i="1" s="1"/>
  <c r="G622" i="1" s="1"/>
  <c r="J622" i="1" s="1"/>
  <c r="F650" i="1"/>
  <c r="C107" i="2"/>
  <c r="C137" i="2" s="1"/>
  <c r="D28" i="10" l="1"/>
  <c r="D26" i="10"/>
  <c r="D22" i="10"/>
  <c r="C30" i="10"/>
  <c r="D19" i="10"/>
  <c r="D20" i="10"/>
  <c r="D18" i="10"/>
  <c r="D12" i="10"/>
  <c r="D25" i="10"/>
  <c r="D23" i="10"/>
  <c r="D24" i="10"/>
  <c r="G657" i="1"/>
  <c r="G662" i="1"/>
  <c r="C5" i="10" s="1"/>
  <c r="D16" i="10"/>
  <c r="D17" i="10"/>
  <c r="D13" i="10"/>
  <c r="D11" i="10"/>
  <c r="D21" i="10"/>
  <c r="D27" i="10"/>
  <c r="I650" i="1"/>
  <c r="I654" i="1" s="1"/>
  <c r="F654" i="1"/>
  <c r="C41" i="10"/>
  <c r="D37" i="10" l="1"/>
  <c r="D40" i="10"/>
  <c r="D38" i="10"/>
  <c r="D35" i="10"/>
  <c r="D39" i="10"/>
  <c r="F657" i="1"/>
  <c r="F662" i="1"/>
  <c r="C4" i="10" s="1"/>
  <c r="I657" i="1"/>
  <c r="I662" i="1"/>
  <c r="C7" i="10" s="1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93F9392-A013-4189-A1F7-AD3D3F47CE8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61DD15B-A66A-4BE9-B86B-963C7CA5998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6FAC78A-C37B-419B-8068-9AB76998AE1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1337E6C-ADB8-4CA7-823A-F76DB316C43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B98A900-6757-46FF-A125-50D77C6BBF7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D0ED36C-5114-417C-8B2C-38D09761D15F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4D0831E0-52BB-4E88-93A8-A51F03D99C5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2FABB3E-26C7-4536-8AC6-3BA54A91079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020B865-AEA5-4375-ADAB-48E1C06437D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6D88104-390C-4583-89A2-F23D1E89ABF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278FBF8F-1788-4B62-8BAF-3FBF5B1E65B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24F4CDE-A5DD-4812-B546-4DAB1CA661D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<sst xmlns="http://schemas.openxmlformats.org/spreadsheetml/2006/main" count="3862" uniqueCount="899">
  <si>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</si>
  <si>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</si>
  <si>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</si>
  <si>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</si>
  <si>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</si>
  <si>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</si>
  <si>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</si>
  <si>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</si>
  <si>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</si>
  <si>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</si>
  <si>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</si>
  <si>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</si>
  <si>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</si>
  <si>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</si>
  <si>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</si>
  <si>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</si>
  <si>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</si>
  <si>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</si>
  <si>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</si>
  <si>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</si>
  <si>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</si>
  <si>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</si>
  <si>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</si>
  <si>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</si>
  <si>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</si>
  <si>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</si>
  <si>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</si>
  <si>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</si>
  <si>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</si>
  <si>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</si>
  <si>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</si>
  <si>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</si>
  <si>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</si>
  <si>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</si>
  <si>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</si>
  <si>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</si>
  <si>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</si>
  <si>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</si>
  <si>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</si>
  <si>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</si>
  <si>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</si>
  <si>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</si>
  <si>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</si>
  <si>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</si>
  <si>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</si>
  <si>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</si>
  <si>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</si>
  <si>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</si>
  <si>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</si>
  <si>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</si>
  <si>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</si>
  <si>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</si>
  <si>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</si>
  <si>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</si>
  <si>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</si>
  <si>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</si>
  <si>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</si>
  <si>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</si>
  <si>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</si>
  <si>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</si>
  <si>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</si>
  <si>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</si>
  <si>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</si>
  <si>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</si>
  <si>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</si>
  <si>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</si>
  <si>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</si>
  <si>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</si>
  <si>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</si>
  <si>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</si>
  <si>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</si>
  <si>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</si>
  <si>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</si>
  <si>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</si>
  <si>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</si>
  <si>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</si>
  <si>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</si>
  <si>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</si>
  <si>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</si>
  <si>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</si>
  <si>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</si>
  <si>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</si>
  <si>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</si>
  <si>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</si>
  <si>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</si>
  <si>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</si>
  <si>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</si>
  <si>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</si>
  <si>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</si>
  <si>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</si>
  <si>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</si>
  <si>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</si>
  <si>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</si>
  <si>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</si>
  <si>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</si>
  <si>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</si>
  <si>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</si>
  <si>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</si>
  <si>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</si>
  <si>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</si>
  <si>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</si>
  <si>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</si>
  <si>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</si>
  <si>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</si>
  <si>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</si>
  <si>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</si>
  <si>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</si>
  <si>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</si>
  <si>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</si>
  <si>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</si>
  <si>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</si>
  <si>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</si>
  <si>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</si>
  <si>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</si>
  <si>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</si>
  <si>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</si>
  <si>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</si>
  <si>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</si>
  <si>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</si>
  <si>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</si>
  <si>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</si>
  <si>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</si>
  <si>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</si>
  <si>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</si>
  <si>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</si>
  <si>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</si>
  <si>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</si>
  <si>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</si>
  <si>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</si>
  <si>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</si>
  <si>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</si>
  <si>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</si>
  <si>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</si>
  <si>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</si>
  <si>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</si>
  <si>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</si>
  <si>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</si>
  <si>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</si>
  <si>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</si>
  <si>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</si>
  <si>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</si>
  <si>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</si>
  <si>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</si>
  <si>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</si>
  <si>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</si>
  <si>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</si>
  <si>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</si>
  <si>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</si>
  <si>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</si>
  <si>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</si>
  <si>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</si>
  <si>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</si>
  <si>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</si>
  <si>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</si>
  <si>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</si>
  <si>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</si>
  <si>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</si>
  <si>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</si>
  <si>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</si>
  <si>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</si>
  <si>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</si>
  <si>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</si>
  <si>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</si>
  <si>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</si>
  <si>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</si>
  <si>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</si>
  <si>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</si>
  <si>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</si>
  <si>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</si>
  <si>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</si>
  <si>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</si>
  <si>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</si>
  <si>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</si>
  <si>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</si>
  <si>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</si>
  <si>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</si>
  <si>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</si>
  <si>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</si>
  <si>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</si>
  <si>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</si>
  <si>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</si>
  <si>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</si>
  <si>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</si>
  <si>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</si>
  <si>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</si>
  <si>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</si>
  <si>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</si>
  <si>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</si>
  <si>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</si>
  <si>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</si>
  <si>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</si>
  <si>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</si>
  <si>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</si>
  <si>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</si>
  <si>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</si>
  <si>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</si>
  <si>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</si>
  <si>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</si>
  <si>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</si>
  <si>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</si>
  <si>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</si>
  <si>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</si>
  <si>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</si>
  <si>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</si>
  <si>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</si>
  <si>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</si>
  <si>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</si>
  <si>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</si>
  <si>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</si>
  <si>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</si>
  <si>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</si>
  <si>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</si>
  <si>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</si>
  <si>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</si>
  <si>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</si>
  <si>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</si>
  <si>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</si>
  <si>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</si>
  <si>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</si>
  <si>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</si>
  <si>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</si>
  <si>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</si>
  <si>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</si>
  <si>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</si>
  <si>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</si>
  <si>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</si>
  <si>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</si>
  <si>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</si>
  <si>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</si>
  <si>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</si>
  <si>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</si>
  <si>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</si>
  <si>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</si>
  <si>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</si>
  <si>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</si>
  <si>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</si>
  <si>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</si>
  <si>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</si>
  <si>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</si>
  <si>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</si>
  <si>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</si>
  <si>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</si>
  <si>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</si>
  <si>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</si>
  <si>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</si>
  <si>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</si>
  <si>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</si>
  <si>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</si>
  <si>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</si>
  <si>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</si>
  <si>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</si>
  <si>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</si>
  <si>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</si>
  <si>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</si>
  <si>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</si>
  <si>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</si>
  <si>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</si>
  <si>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</si>
  <si>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</si>
  <si>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</si>
  <si>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</si>
  <si>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</si>
  <si>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</si>
  <si>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</si>
  <si>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</si>
  <si>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</si>
  <si>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</si>
  <si>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</si>
  <si>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</si>
  <si>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</si>
  <si>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</si>
  <si>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</si>
  <si>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</si>
  <si>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</si>
  <si>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</si>
  <si>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</si>
  <si>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</si>
  <si>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</si>
  <si>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</si>
  <si>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</si>
  <si>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</si>
  <si>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</si>
  <si>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</si>
  <si>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</si>
  <si>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</si>
  <si>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</si>
  <si>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</si>
  <si>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</si>
  <si>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</si>
  <si>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</si>
  <si>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</si>
  <si>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</si>
  <si>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</si>
  <si>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</si>
  <si>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</si>
  <si>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</si>
  <si>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</si>
  <si>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</si>
  <si>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</si>
  <si>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</si>
  <si>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</si>
  <si>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</si>
  <si>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</si>
  <si>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</si>
  <si>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</si>
  <si>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</si>
  <si>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</si>
  <si>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</si>
  <si>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</si>
  <si>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</si>
  <si>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</si>
  <si>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</si>
  <si>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</si>
  <si>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</si>
  <si>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</si>
  <si>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</si>
  <si>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</si>
  <si>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</si>
  <si>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</si>
  <si>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</si>
  <si>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</si>
  <si>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</si>
  <si>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</si>
  <si>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</si>
  <si>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</si>
  <si>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</si>
  <si>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</si>
  <si>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</si>
  <si>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</si>
  <si>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</si>
  <si>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</si>
  <si>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</si>
  <si>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</si>
  <si>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</si>
  <si>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</si>
  <si>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</si>
  <si>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</si>
  <si>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</si>
  <si>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</si>
  <si>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</si>
  <si>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</si>
  <si>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</si>
  <si>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</si>
  <si>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</si>
  <si>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</si>
  <si>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</si>
  <si>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</si>
  <si>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</si>
  <si>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</si>
  <si>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</si>
  <si>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</si>
  <si>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</si>
  <si>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</si>
  <si>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</si>
  <si>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</si>
  <si>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</si>
  <si>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</si>
  <si>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</si>
  <si>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</si>
  <si>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</si>
  <si>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</si>
  <si>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</si>
  <si>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</si>
  <si>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</si>
  <si>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</si>
  <si>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</si>
  <si>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</si>
  <si>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</si>
  <si>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</si>
  <si>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</si>
  <si>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</si>
  <si>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</si>
  <si>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</si>
  <si>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</si>
  <si>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</si>
  <si>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</si>
  <si>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</si>
  <si>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</si>
  <si>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</si>
  <si>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</si>
  <si>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</si>
  <si>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</si>
  <si>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</si>
  <si>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</si>
  <si>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</si>
  <si>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</si>
  <si>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</si>
  <si>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</si>
  <si>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</si>
  <si>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</si>
  <si>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</si>
  <si>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</si>
  <si>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</si>
  <si>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</si>
  <si>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</si>
  <si>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</si>
  <si>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</si>
  <si>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</si>
  <si>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</si>
  <si>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</si>
  <si>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</si>
  <si>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</si>
  <si>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</si>
  <si>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</si>
  <si>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</si>
  <si>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</si>
  <si>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</si>
  <si>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</si>
  <si>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</si>
  <si>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</si>
  <si>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</si>
  <si>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</si>
  <si>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</si>
  <si>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</si>
  <si>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</si>
  <si>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</si>
  <si>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</si>
  <si>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</si>
  <si>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</si>
  <si>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</si>
  <si>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</si>
  <si>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</si>
  <si>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</si>
  <si>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</si>
  <si>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</si>
  <si>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</si>
  <si>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</si>
  <si>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</si>
  <si>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</si>
  <si>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</si>
  <si>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</si>
  <si>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</si>
  <si>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</si>
  <si>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</si>
  <si>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</si>
  <si>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</si>
  <si>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</si>
  <si>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</si>
  <si>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</si>
  <si>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</si>
  <si>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</si>
  <si>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</si>
  <si>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</si>
  <si>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</si>
  <si>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</si>
  <si>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</si>
  <si>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</si>
  <si>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</si>
  <si>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</si>
  <si>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</si>
  <si>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</si>
  <si>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</si>
  <si>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</si>
  <si>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</si>
  <si>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</si>
  <si>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</si>
  <si>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</si>
  <si>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</si>
  <si>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</si>
  <si>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</si>
  <si>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</si>
  <si>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</si>
  <si>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</si>
  <si>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</si>
  <si>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</si>
  <si>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</si>
  <si>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</si>
  <si>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</si>
  <si>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</si>
  <si>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</si>
  <si>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</si>
  <si>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</si>
  <si>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</si>
  <si>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</si>
  <si>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</si>
  <si>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</si>
  <si>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</si>
  <si>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</si>
  <si>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</si>
  <si>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</si>
  <si>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</si>
  <si>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</si>
  <si>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</si>
  <si>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</si>
  <si>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</si>
  <si>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</si>
  <si>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</si>
  <si>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</si>
  <si>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</si>
  <si>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</si>
  <si>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</si>
  <si>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</si>
  <si>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</si>
  <si>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</si>
  <si>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</si>
  <si>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</si>
  <si>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</si>
  <si>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</si>
  <si>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</si>
  <si>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</si>
  <si>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</si>
  <si>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</si>
  <si>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</si>
  <si>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</si>
  <si>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</si>
  <si>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</si>
  <si>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</si>
  <si>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</si>
  <si>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</si>
  <si>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</si>
  <si>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</si>
  <si>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</si>
  <si>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</si>
  <si>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</si>
  <si>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</si>
  <si>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</si>
  <si>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</si>
  <si>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</si>
  <si>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</si>
  <si>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</si>
  <si>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</si>
  <si>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</si>
  <si>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</si>
  <si>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</si>
  <si>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</si>
  <si>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</si>
  <si>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</si>
  <si>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</si>
  <si>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</si>
  <si>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</si>
  <si>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</si>
  <si>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</si>
  <si>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</si>
  <si>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</si>
  <si>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</si>
  <si>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</si>
  <si>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</si>
  <si>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</si>
  <si>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</si>
  <si>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</si>
  <si>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</si>
  <si>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</si>
  <si>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</si>
  <si>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</si>
  <si>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</si>
  <si>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</si>
  <si>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</si>
  <si>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</si>
  <si>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</si>
  <si>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</si>
  <si>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</si>
  <si>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</si>
  <si>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</si>
  <si>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</si>
  <si>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</si>
  <si>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</si>
  <si>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</si>
  <si>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</si>
  <si>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</si>
  <si>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</si>
  <si>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</si>
  <si>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</si>
  <si>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</si>
  <si>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</si>
  <si>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</si>
  <si>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</si>
  <si>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</si>
  <si>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</si>
  <si>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</si>
  <si>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</si>
  <si>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</si>
  <si>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</si>
  <si>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</si>
  <si>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</si>
  <si>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</si>
  <si>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</si>
  <si>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</si>
  <si>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</si>
  <si>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</si>
  <si>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</si>
  <si>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</si>
  <si>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</si>
  <si>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</si>
  <si>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</si>
  <si>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</si>
  <si>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</si>
  <si>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</si>
  <si>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</si>
  <si>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</si>
  <si>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</si>
  <si>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</si>
  <si>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</si>
  <si>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</si>
  <si>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</si>
  <si>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</si>
  <si>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</si>
  <si>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</si>
  <si>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</si>
  <si>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</si>
  <si>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</si>
  <si>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</si>
  <si>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</si>
  <si>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</si>
  <si>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</si>
  <si>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</si>
  <si>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</si>
  <si>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</si>
  <si>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</si>
  <si>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</si>
  <si>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</si>
  <si>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</si>
  <si>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</si>
  <si>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</si>
  <si>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</si>
  <si>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</si>
  <si>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</si>
  <si>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</si>
  <si>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</si>
  <si>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</si>
  <si>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</si>
  <si>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</si>
  <si>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</si>
  <si>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</si>
  <si>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</si>
  <si>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</si>
  <si>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</si>
  <si>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</si>
  <si>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</si>
  <si>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</si>
  <si>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</si>
  <si>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</si>
  <si>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</si>
  <si>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</si>
  <si>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</si>
  <si>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</si>
  <si>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</si>
  <si>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</si>
  <si>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</si>
  <si>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</si>
  <si>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</si>
  <si>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</si>
  <si>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</si>
  <si>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</si>
  <si>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</si>
  <si>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</si>
  <si>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</si>
  <si>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</si>
  <si>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</si>
  <si>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</si>
  <si>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</si>
  <si>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</si>
  <si>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</si>
  <si>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</si>
  <si>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</si>
  <si>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</si>
  <si>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</si>
  <si>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</si>
  <si>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</si>
  <si>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</si>
  <si>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</si>
  <si>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</si>
  <si>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</si>
  <si>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</si>
  <si>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</si>
  <si>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</si>
  <si>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</si>
  <si>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</si>
  <si>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</si>
  <si>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</si>
  <si>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</si>
  <si>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</si>
  <si>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</si>
  <si>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</si>
  <si>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</si>
  <si>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</si>
  <si>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</si>
  <si>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</si>
  <si>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</si>
  <si>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</si>
  <si>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</si>
  <si>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</si>
  <si>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</si>
  <si>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</si>
  <si>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</si>
  <si>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</si>
  <si>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</si>
  <si>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</si>
  <si>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</si>
  <si>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</si>
  <si>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</si>
  <si>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</si>
  <si>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</si>
  <si>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</si>
  <si>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</si>
  <si>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</si>
  <si>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</si>
  <si>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</si>
  <si>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</si>
  <si>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</si>
  <si>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</si>
  <si>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</si>
  <si>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</si>
  <si>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</si>
  <si>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</si>
  <si>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</si>
  <si>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</si>
  <si>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</si>
  <si>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</si>
  <si>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</si>
  <si>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</si>
  <si>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</si>
  <si>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</si>
  <si>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</si>
  <si>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</si>
  <si>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</si>
  <si>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</si>
  <si>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</si>
  <si>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</si>
  <si>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</si>
  <si>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</si>
  <si>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</si>
  <si>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</si>
  <si>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</si>
  <si>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</si>
  <si>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</si>
  <si>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</si>
  <si>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</si>
  <si>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</si>
  <si>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</si>
  <si>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</si>
  <si>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</si>
  <si>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</si>
  <si>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</si>
  <si>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</si>
  <si>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</si>
  <si>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</si>
  <si>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</si>
  <si>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</si>
  <si>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</si>
  <si>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</si>
  <si>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</si>
  <si>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</si>
  <si>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</si>
  <si>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</si>
  <si>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</si>
  <si>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</si>
  <si>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</si>
  <si>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</si>
  <si>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</si>
  <si>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</si>
  <si>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</si>
  <si>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</si>
  <si>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</si>
  <si>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</si>
  <si>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</si>
  <si>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</si>
  <si>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</si>
  <si>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</si>
  <si>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</si>
  <si>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</si>
  <si>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</si>
  <si>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</si>
  <si>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</si>
  <si>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</si>
  <si>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</si>
  <si>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</si>
  <si>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</si>
  <si>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</si>
  <si>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</si>
  <si>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</si>
  <si>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</si>
  <si>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</si>
  <si>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</si>
  <si>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</si>
  <si>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</si>
  <si>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</si>
  <si>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</si>
  <si>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</si>
  <si>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</si>
  <si>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</si>
  <si>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</si>
  <si>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</si>
  <si>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</si>
  <si>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</si>
  <si>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</si>
  <si>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</si>
  <si>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</si>
  <si>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</si>
  <si>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</si>
  <si>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</si>
  <si>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</si>
  <si>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</si>
  <si>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</si>
  <si>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</si>
  <si>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</si>
  <si>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</si>
  <si>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</si>
  <si>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</si>
  <si>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</si>
  <si>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</si>
  <si>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</si>
  <si>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</si>
  <si>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</si>
  <si>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</si>
  <si>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</si>
  <si>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</si>
  <si>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</si>
  <si>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</si>
  <si>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</si>
  <si>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</si>
  <si>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</si>
  <si>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</si>
  <si>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</si>
  <si>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</si>
  <si>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</si>
  <si>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</si>
  <si>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</si>
  <si>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</si>
  <si>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</si>
  <si>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</si>
  <si>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</si>
  <si>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</si>
  <si>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</si>
  <si>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</si>
  <si>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</si>
  <si>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</si>
  <si>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</si>
  <si>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</si>
  <si>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</si>
  <si>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</si>
  <si>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</si>
  <si>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</si>
  <si>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</si>
  <si>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</si>
  <si>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</si>
  <si>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</si>
  <si>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</si>
  <si>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</si>
  <si>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</si>
  <si>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</si>
  <si>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</si>
  <si>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</si>
  <si>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</si>
  <si>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</si>
  <si>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</si>
  <si>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</si>
  <si>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</si>
  <si>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</si>
  <si>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</si>
  <si>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</si>
  <si>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</si>
  <si>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</si>
  <si>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</si>
  <si>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</si>
  <si>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</si>
  <si>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</si>
  <si>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</si>
  <si>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</si>
  <si>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</si>
  <si>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</si>
  <si>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</si>
  <si>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</si>
  <si>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</si>
  <si>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</si>
  <si>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</si>
  <si>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</si>
  <si>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</si>
  <si>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</si>
  <si>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</si>
  <si>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</si>
  <si>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</si>
  <si>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</si>
  <si>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</si>
  <si>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</si>
  <si>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</si>
  <si>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</si>
  <si>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</si>
  <si>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</si>
  <si>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</si>
  <si>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</si>
  <si>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</si>
  <si>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</si>
  <si>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</si>
  <si>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</si>
  <si>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</si>
  <si>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</si>
  <si>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</si>
  <si>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</si>
  <si>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</si>
  <si>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</si>
  <si>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</si>
  <si>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</si>
  <si>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</si>
  <si>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</si>
  <si>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Timberlane Regional School District</t>
  </si>
  <si>
    <t>08/2019</t>
  </si>
  <si>
    <t>07/1999</t>
  </si>
  <si>
    <t xml:space="preserve">      4.25 to 5.25</t>
  </si>
  <si>
    <t>Impact Fees from towns - see coop apportionment fall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</si>
</sst>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18" fillId="0" borderId="0" xfId="0" applyNumberFormat="1" applyFont="1" applyAlignment="1" applyProtection="1">
      <alignment vertical="justify"/>
      <protection locked="0"/>
    </xf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E2E8-EE22-41A6-9A62-619DC60AD906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534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1166023.13+1831</f>
        <v>1167854.1299999999</v>
      </c>
      <c r="G9" s="18">
        <f>325701.66+120</f>
        <v>325821.65999999997</v>
      </c>
      <c r="H9" s="18">
        <f>53627.2+100</f>
        <v>53727.199999999997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303951.28999999998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849399.6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1146056.18-303951.29</f>
        <v>842104.8899999999</v>
      </c>
      <c r="G13" s="18">
        <v>28783.32</v>
      </c>
      <c r="H13" s="18">
        <f>402630.88+68051.69</f>
        <v>470682.57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50308.71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16360.64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31160.35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2890518.97</v>
      </c>
      <c r="G19" s="41">
        <f>SUM(G9:G18)</f>
        <v>421274.33</v>
      </c>
      <c r="H19" s="41">
        <f>SUM(H9:H18)</f>
        <v>524409.77</v>
      </c>
      <c r="I19" s="41">
        <f>SUM(I9:I18)</f>
        <v>0</v>
      </c>
      <c r="J19" s="41">
        <f>SUM(J9:J18)</f>
        <v>303951.28999999998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361967.1</v>
      </c>
      <c r="H23" s="18">
        <f>18741.61+400639.2+68051.69</f>
        <v>487432.5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78106.22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57168.36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166485.01999999999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606</v>
      </c>
      <c r="G31" s="18">
        <v>24589.39</v>
      </c>
      <c r="H31" s="18">
        <f>1991.68</f>
        <v>1991.68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302365.59999999998</v>
      </c>
      <c r="G33" s="41">
        <f>SUM(G23:G32)</f>
        <v>386556.49</v>
      </c>
      <c r="H33" s="41">
        <f>SUM(H23:H32)</f>
        <v>489424.18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34717.839999999997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392530.74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200000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34985.589999999997</v>
      </c>
      <c r="I41" s="18"/>
      <c r="J41" s="13">
        <f>SUM(I449)</f>
        <v>303951.28999999998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1995622.63</f>
        <v>1995622.63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2588153.37</v>
      </c>
      <c r="G43" s="41">
        <f>SUM(G35:G42)</f>
        <v>34717.839999999997</v>
      </c>
      <c r="H43" s="41">
        <f>SUM(H35:H42)</f>
        <v>34985.589999999997</v>
      </c>
      <c r="I43" s="41">
        <f>SUM(I35:I42)</f>
        <v>0</v>
      </c>
      <c r="J43" s="41">
        <f>SUM(J35:J42)</f>
        <v>303951.28999999998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2890518.97</v>
      </c>
      <c r="G44" s="41">
        <f>G43+G33</f>
        <v>421274.32999999996</v>
      </c>
      <c r="H44" s="41">
        <f>H43+H33</f>
        <v>524409.77</v>
      </c>
      <c r="I44" s="41">
        <f>I43+I33</f>
        <v>0</v>
      </c>
      <c r="J44" s="41">
        <f>J43+J33</f>
        <v>303951.28999999998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12131936+7068402+14028378+9250532-6513321</f>
        <v>35965927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f>20000+160000</f>
        <v>180000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36145927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10890+11225+47395+18700</f>
        <v>88210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7850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105132.5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18192.5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21996.13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241381.13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6553</v>
      </c>
      <c r="G88" s="18">
        <v>624.41999999999996</v>
      </c>
      <c r="H88" s="18">
        <f>73.83</f>
        <v>73.83</v>
      </c>
      <c r="I88" s="18"/>
      <c r="J88" s="18">
        <v>484.96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703833+48579+309358.89+57690+7244+23206</f>
        <v>1149910.8900000001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395</v>
      </c>
      <c r="G93" s="18"/>
      <c r="H93" s="18">
        <f>46884.5</f>
        <v>46884.5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142915.48+74652.5</f>
        <v>217567.98</v>
      </c>
      <c r="G102" s="18"/>
      <c r="H102" s="18">
        <f>25544+22552</f>
        <v>48096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224515.98</v>
      </c>
      <c r="G103" s="41">
        <f>SUM(G88:G102)</f>
        <v>1150535.31</v>
      </c>
      <c r="H103" s="41">
        <f>SUM(H88:H102)</f>
        <v>95054.33</v>
      </c>
      <c r="I103" s="41">
        <f>SUM(I88:I102)</f>
        <v>0</v>
      </c>
      <c r="J103" s="41">
        <f>SUM(J88:J102)</f>
        <v>484.96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36611824.109999999</v>
      </c>
      <c r="G104" s="41">
        <f>G52+G103</f>
        <v>1150535.31</v>
      </c>
      <c r="H104" s="41">
        <f>H52+H71+H86+H103</f>
        <v>95054.33</v>
      </c>
      <c r="I104" s="41">
        <f>I52+I103</f>
        <v>0</v>
      </c>
      <c r="J104" s="41">
        <f>J52+J103</f>
        <v>484.96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11620385-F111</f>
        <v>11213668.42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6513321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406716.58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2548.89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18136254.890000001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1103810.6599999999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376050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640904.55000000005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12085.09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18868.27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48750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1548.68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2181600.2999999998</v>
      </c>
      <c r="G128" s="41">
        <f>SUM(G115:G127)</f>
        <v>18868.27</v>
      </c>
      <c r="H128" s="41">
        <f>SUM(H115:H127)</f>
        <v>1548.68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20317855.190000001</v>
      </c>
      <c r="G132" s="41">
        <f>G113+SUM(G128:G129)</f>
        <v>18868.27</v>
      </c>
      <c r="H132" s="41">
        <f>H113+SUM(H128:H131)</f>
        <v>1548.68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3703.42+144928.13+11608.35+20896.35</f>
        <v>181136.25000000003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30615.56+2059.62+29157.6+7628.77+29915.34</f>
        <v>99376.89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331052.75+72585.38</f>
        <v>403638.13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862886.47+25690.47+460990.98+16038.75</f>
        <v>1365606.67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610757.14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1284.18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610757.14</v>
      </c>
      <c r="G154" s="41">
        <f>SUM(G142:G153)</f>
        <v>403638.13</v>
      </c>
      <c r="H154" s="41">
        <f>SUM(H142:H153)</f>
        <v>1647403.99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610757.14</v>
      </c>
      <c r="G161" s="41">
        <f>G139+G154+SUM(G155:G160)</f>
        <v>403638.13</v>
      </c>
      <c r="H161" s="41">
        <f>H139+H154+SUM(H155:H160)</f>
        <v>1647403.99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>
        <v>0</v>
      </c>
      <c r="J171" s="18"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225000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225000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225000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57765436.439999998</v>
      </c>
      <c r="G185" s="47">
        <f>G104+G132+G161+G184</f>
        <v>1573041.71</v>
      </c>
      <c r="H185" s="47">
        <f>H104+H132+H161+H184</f>
        <v>1744007</v>
      </c>
      <c r="I185" s="47">
        <f>I104+I132+I161+I184</f>
        <v>0</v>
      </c>
      <c r="J185" s="47">
        <f>J104+J132+J184</f>
        <v>100484.96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7240620.8899999997</v>
      </c>
      <c r="G189" s="18">
        <v>2762603.96</v>
      </c>
      <c r="H189" s="18">
        <v>19382.29</v>
      </c>
      <c r="I189" s="18">
        <f>365113.46-0.01</f>
        <v>365113.45</v>
      </c>
      <c r="J189" s="18">
        <v>211828.64</v>
      </c>
      <c r="K189" s="18">
        <v>1295</v>
      </c>
      <c r="L189" s="19">
        <f>SUM(F189:K189)</f>
        <v>10600844.229999999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1964589.61</v>
      </c>
      <c r="G190" s="18">
        <v>749574.26</v>
      </c>
      <c r="H190" s="18">
        <v>371787.91</v>
      </c>
      <c r="I190" s="18">
        <v>14810.74</v>
      </c>
      <c r="J190" s="18">
        <v>4177.13</v>
      </c>
      <c r="K190" s="18"/>
      <c r="L190" s="19">
        <f>SUM(F190:K190)</f>
        <v>3104939.6500000004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66142.039999999994</v>
      </c>
      <c r="G192" s="18">
        <v>25235.99</v>
      </c>
      <c r="H192" s="18">
        <v>3543.79</v>
      </c>
      <c r="I192" s="18">
        <v>10088.31</v>
      </c>
      <c r="J192" s="18"/>
      <c r="K192" s="18"/>
      <c r="L192" s="19">
        <f>SUM(F192:K192)</f>
        <v>105010.12999999999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1254096.3600000001</v>
      </c>
      <c r="G194" s="18">
        <v>478490.95</v>
      </c>
      <c r="H194" s="18">
        <v>59754.05</v>
      </c>
      <c r="I194" s="18">
        <v>18943.53</v>
      </c>
      <c r="J194" s="18">
        <v>1335.15</v>
      </c>
      <c r="K194" s="18">
        <v>6052.36</v>
      </c>
      <c r="L194" s="19">
        <f t="shared" ref="L194:L200" si="0">SUM(F194:K194)</f>
        <v>1818672.4000000001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275961.03000000003</v>
      </c>
      <c r="G195" s="18">
        <v>167501.57</v>
      </c>
      <c r="H195" s="18">
        <v>36165.040000000001</v>
      </c>
      <c r="I195" s="18">
        <v>55438.53</v>
      </c>
      <c r="J195" s="18">
        <v>5515.03</v>
      </c>
      <c r="K195" s="18"/>
      <c r="L195" s="19">
        <f t="shared" si="0"/>
        <v>540581.20000000007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227863.94</v>
      </c>
      <c r="G196" s="18">
        <v>86939.76</v>
      </c>
      <c r="H196" s="18">
        <v>432378.71</v>
      </c>
      <c r="I196" s="18">
        <v>3859.41</v>
      </c>
      <c r="J196" s="18"/>
      <c r="K196" s="18">
        <v>11443.23</v>
      </c>
      <c r="L196" s="19">
        <f t="shared" si="0"/>
        <v>762485.05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1094464.7</v>
      </c>
      <c r="G197" s="18">
        <v>417584.7</v>
      </c>
      <c r="H197" s="18">
        <v>93242.19</v>
      </c>
      <c r="I197" s="18">
        <v>20339.16</v>
      </c>
      <c r="J197" s="18">
        <v>43123.32</v>
      </c>
      <c r="K197" s="18">
        <v>6571</v>
      </c>
      <c r="L197" s="19">
        <f t="shared" si="0"/>
        <v>1675325.0699999998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23888.32</v>
      </c>
      <c r="I198" s="18"/>
      <c r="J198" s="18"/>
      <c r="K198" s="18"/>
      <c r="L198" s="19">
        <f t="shared" si="0"/>
        <v>23888.32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740244.24</v>
      </c>
      <c r="G199" s="18">
        <v>292841.11</v>
      </c>
      <c r="H199" s="18">
        <v>271223.45</v>
      </c>
      <c r="I199" s="18">
        <v>551256.86</v>
      </c>
      <c r="J199" s="18">
        <v>32919.42</v>
      </c>
      <c r="K199" s="18"/>
      <c r="L199" s="19">
        <f t="shared" si="0"/>
        <v>1888485.08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982511.24</v>
      </c>
      <c r="I200" s="18"/>
      <c r="J200" s="18"/>
      <c r="K200" s="18"/>
      <c r="L200" s="19">
        <f t="shared" si="0"/>
        <v>982511.24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50227.519999999997</v>
      </c>
      <c r="G201" s="18">
        <v>19163.93</v>
      </c>
      <c r="H201" s="18">
        <v>4603.45</v>
      </c>
      <c r="I201" s="18">
        <v>44790.19</v>
      </c>
      <c r="J201" s="18">
        <v>5511.56</v>
      </c>
      <c r="K201" s="18"/>
      <c r="L201" s="19">
        <f>SUM(F201:K201)</f>
        <v>124296.65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12914210.329999996</v>
      </c>
      <c r="G203" s="41">
        <f t="shared" si="1"/>
        <v>4999936.2300000004</v>
      </c>
      <c r="H203" s="41">
        <f t="shared" si="1"/>
        <v>2298480.4400000004</v>
      </c>
      <c r="I203" s="41">
        <f t="shared" si="1"/>
        <v>1084640.18</v>
      </c>
      <c r="J203" s="41">
        <f t="shared" si="1"/>
        <v>304410.25</v>
      </c>
      <c r="K203" s="41">
        <f t="shared" si="1"/>
        <v>25361.59</v>
      </c>
      <c r="L203" s="41">
        <f t="shared" si="1"/>
        <v>21627039.02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4599480.5999999996</v>
      </c>
      <c r="G207" s="18">
        <v>1754896.92</v>
      </c>
      <c r="H207" s="18">
        <v>17607.46</v>
      </c>
      <c r="I207" s="18">
        <v>196258.32</v>
      </c>
      <c r="J207" s="18">
        <v>134686.51</v>
      </c>
      <c r="K207" s="18">
        <v>75</v>
      </c>
      <c r="L207" s="19">
        <f>SUM(F207:K207)</f>
        <v>6703004.8099999996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1671527.07</v>
      </c>
      <c r="G208" s="18">
        <v>637758.47</v>
      </c>
      <c r="H208" s="18">
        <v>229811.4</v>
      </c>
      <c r="I208" s="18">
        <v>9707.15</v>
      </c>
      <c r="J208" s="18">
        <v>1547.26</v>
      </c>
      <c r="K208" s="18"/>
      <c r="L208" s="19">
        <f>SUM(F208:K208)</f>
        <v>2550351.3499999996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98929.16</v>
      </c>
      <c r="G210" s="18">
        <v>37745.67</v>
      </c>
      <c r="H210" s="18">
        <v>20218.93</v>
      </c>
      <c r="I210" s="18">
        <v>9578.25</v>
      </c>
      <c r="J210" s="18">
        <v>3289.7</v>
      </c>
      <c r="K210" s="18">
        <v>1235</v>
      </c>
      <c r="L210" s="19">
        <f>SUM(F210:K210)</f>
        <v>170996.71000000002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757616.58</v>
      </c>
      <c r="G212" s="18">
        <v>289062.86</v>
      </c>
      <c r="H212" s="18">
        <v>38699.1</v>
      </c>
      <c r="I212" s="18">
        <v>10180.950000000001</v>
      </c>
      <c r="J212" s="18">
        <v>1013.47</v>
      </c>
      <c r="K212" s="18">
        <v>3828.08</v>
      </c>
      <c r="L212" s="19">
        <f t="shared" ref="L212:L218" si="2">SUM(F212:K212)</f>
        <v>1100401.04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133688.51999999999</v>
      </c>
      <c r="G213" s="18">
        <v>90355.78</v>
      </c>
      <c r="H213" s="18">
        <v>27627.97</v>
      </c>
      <c r="I213" s="18">
        <v>32071.95</v>
      </c>
      <c r="J213" s="18">
        <v>2338.9699999999998</v>
      </c>
      <c r="K213" s="18"/>
      <c r="L213" s="19">
        <f t="shared" si="2"/>
        <v>286083.18999999994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144122.67000000001</v>
      </c>
      <c r="G214" s="18">
        <v>54988.91</v>
      </c>
      <c r="H214" s="18">
        <v>273477.12</v>
      </c>
      <c r="I214" s="18">
        <v>2441.06</v>
      </c>
      <c r="J214" s="18"/>
      <c r="K214" s="18">
        <v>7237.78</v>
      </c>
      <c r="L214" s="19">
        <f t="shared" si="2"/>
        <v>482267.54000000004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487170.98</v>
      </c>
      <c r="G215" s="18">
        <v>185876.39</v>
      </c>
      <c r="H215" s="18">
        <v>21864.5</v>
      </c>
      <c r="I215" s="18">
        <v>24791.72</v>
      </c>
      <c r="J215" s="18">
        <v>38044.71</v>
      </c>
      <c r="K215" s="18">
        <v>75</v>
      </c>
      <c r="L215" s="19">
        <f t="shared" si="2"/>
        <v>757823.29999999993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v>15109.23</v>
      </c>
      <c r="I216" s="18"/>
      <c r="J216" s="18"/>
      <c r="K216" s="18"/>
      <c r="L216" s="19">
        <f t="shared" si="2"/>
        <v>15109.23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257889.95</v>
      </c>
      <c r="G217" s="18">
        <v>104978.03</v>
      </c>
      <c r="H217" s="18">
        <v>171547.32</v>
      </c>
      <c r="I217" s="18">
        <v>222278.2</v>
      </c>
      <c r="J217" s="18">
        <v>20821.349999999999</v>
      </c>
      <c r="K217" s="18"/>
      <c r="L217" s="19">
        <f t="shared" si="2"/>
        <v>777514.85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638843.65</v>
      </c>
      <c r="I218" s="18"/>
      <c r="J218" s="18"/>
      <c r="K218" s="18"/>
      <c r="L218" s="19">
        <f t="shared" si="2"/>
        <v>638843.65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31768.63</v>
      </c>
      <c r="G219" s="18">
        <v>12121.08</v>
      </c>
      <c r="H219" s="18">
        <v>2911.65</v>
      </c>
      <c r="I219" s="18">
        <v>28329.55</v>
      </c>
      <c r="J219" s="18">
        <v>3486.03</v>
      </c>
      <c r="K219" s="18"/>
      <c r="L219" s="19">
        <f>SUM(F219:K219)</f>
        <v>78616.94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8182194.1600000001</v>
      </c>
      <c r="G221" s="41">
        <f>SUM(G207:G220)</f>
        <v>3167784.1099999994</v>
      </c>
      <c r="H221" s="41">
        <f>SUM(H207:H220)</f>
        <v>1457718.33</v>
      </c>
      <c r="I221" s="41">
        <f>SUM(I207:I220)</f>
        <v>535637.15</v>
      </c>
      <c r="J221" s="41">
        <f>SUM(J207:J220)</f>
        <v>205228.00000000003</v>
      </c>
      <c r="K221" s="41">
        <f t="shared" si="3"/>
        <v>12450.86</v>
      </c>
      <c r="L221" s="41">
        <f t="shared" si="3"/>
        <v>13561012.610000001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5585971.8799999999</v>
      </c>
      <c r="G225" s="18">
        <v>2131285.1800000002</v>
      </c>
      <c r="H225" s="18">
        <v>35827.07</v>
      </c>
      <c r="I225" s="18">
        <v>287601.34000000003</v>
      </c>
      <c r="J225" s="18">
        <v>250690.72</v>
      </c>
      <c r="K225" s="18">
        <v>3620</v>
      </c>
      <c r="L225" s="19">
        <f>SUM(F225:K225)</f>
        <v>8294996.1900000004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1878904.71</v>
      </c>
      <c r="G226" s="18">
        <v>716881.84</v>
      </c>
      <c r="H226" s="18">
        <v>1462919.28</v>
      </c>
      <c r="I226" s="18">
        <v>12080.41</v>
      </c>
      <c r="J226" s="18">
        <v>3375.38</v>
      </c>
      <c r="K226" s="18"/>
      <c r="L226" s="19">
        <f>SUM(F226:K226)</f>
        <v>4074161.62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44759.44</v>
      </c>
      <c r="I227" s="18"/>
      <c r="J227" s="18"/>
      <c r="K227" s="18"/>
      <c r="L227" s="19">
        <f>SUM(F227:K227)</f>
        <v>44759.44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434903.86</v>
      </c>
      <c r="G228" s="18">
        <v>165934.26999999999</v>
      </c>
      <c r="H228" s="18">
        <v>87852.89</v>
      </c>
      <c r="I228" s="18">
        <v>39435.360000000001</v>
      </c>
      <c r="J228" s="18">
        <v>5116.79</v>
      </c>
      <c r="K228" s="18">
        <v>62027.03</v>
      </c>
      <c r="L228" s="19">
        <f>SUM(F228:K228)</f>
        <v>795270.20000000007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1069477.94</v>
      </c>
      <c r="G230" s="18">
        <v>408051.19</v>
      </c>
      <c r="H230" s="18">
        <v>60443.77</v>
      </c>
      <c r="I230" s="18">
        <v>14865.35</v>
      </c>
      <c r="J230" s="18">
        <v>1812.05</v>
      </c>
      <c r="K230" s="18">
        <v>5235.96</v>
      </c>
      <c r="L230" s="19">
        <f t="shared" ref="L230:L236" si="4">SUM(F230:K230)</f>
        <v>1559886.26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110393.86</v>
      </c>
      <c r="G231" s="18">
        <v>95939.13</v>
      </c>
      <c r="H231" s="18">
        <v>27569.87</v>
      </c>
      <c r="I231" s="18">
        <v>47760.06</v>
      </c>
      <c r="J231" s="18">
        <v>6382.91</v>
      </c>
      <c r="K231" s="18"/>
      <c r="L231" s="19">
        <f t="shared" si="4"/>
        <v>288045.82999999996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197127.63</v>
      </c>
      <c r="G232" s="18">
        <v>75212.55</v>
      </c>
      <c r="H232" s="18">
        <v>374055.64</v>
      </c>
      <c r="I232" s="18">
        <v>3338.82</v>
      </c>
      <c r="J232" s="18"/>
      <c r="K232" s="18">
        <v>9899.67</v>
      </c>
      <c r="L232" s="19">
        <f t="shared" si="4"/>
        <v>659634.31000000006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609022.43000000005</v>
      </c>
      <c r="G233" s="18">
        <v>232367.89</v>
      </c>
      <c r="H233" s="18">
        <v>34393.01</v>
      </c>
      <c r="I233" s="18">
        <v>47477.9</v>
      </c>
      <c r="J233" s="18">
        <v>32535.81</v>
      </c>
      <c r="K233" s="18">
        <v>11168.91</v>
      </c>
      <c r="L233" s="19">
        <f t="shared" si="4"/>
        <v>966965.95000000019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20666.05</v>
      </c>
      <c r="I234" s="18"/>
      <c r="J234" s="18"/>
      <c r="K234" s="18"/>
      <c r="L234" s="19">
        <f t="shared" si="4"/>
        <v>20666.05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422220.29</v>
      </c>
      <c r="G235" s="18">
        <v>170097.76</v>
      </c>
      <c r="H235" s="18">
        <v>307873.89</v>
      </c>
      <c r="I235" s="18">
        <v>272361.86</v>
      </c>
      <c r="J235" s="18">
        <v>28478.959999999999</v>
      </c>
      <c r="K235" s="18"/>
      <c r="L235" s="19">
        <f t="shared" si="4"/>
        <v>1201032.76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967656.26</v>
      </c>
      <c r="I236" s="18"/>
      <c r="J236" s="18"/>
      <c r="K236" s="18"/>
      <c r="L236" s="19">
        <f t="shared" si="4"/>
        <v>967656.26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43452.39</v>
      </c>
      <c r="G237" s="18">
        <v>16578.93</v>
      </c>
      <c r="H237" s="18">
        <v>3982.49</v>
      </c>
      <c r="I237" s="18">
        <v>38748.49</v>
      </c>
      <c r="J237" s="18">
        <v>4768.1099999999997</v>
      </c>
      <c r="K237" s="18"/>
      <c r="L237" s="19">
        <f>SUM(F237:K237)</f>
        <v>107530.40999999999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10351474.99</v>
      </c>
      <c r="G239" s="41">
        <f t="shared" si="5"/>
        <v>4012348.7399999998</v>
      </c>
      <c r="H239" s="41">
        <f t="shared" si="5"/>
        <v>3427999.66</v>
      </c>
      <c r="I239" s="41">
        <f t="shared" si="5"/>
        <v>763669.59</v>
      </c>
      <c r="J239" s="41">
        <f t="shared" si="5"/>
        <v>333160.73</v>
      </c>
      <c r="K239" s="41">
        <f t="shared" si="5"/>
        <v>91951.57</v>
      </c>
      <c r="L239" s="41">
        <f t="shared" si="5"/>
        <v>18980605.280000005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137698.75</v>
      </c>
      <c r="G243" s="18">
        <v>52537.91</v>
      </c>
      <c r="H243" s="18"/>
      <c r="I243" s="18">
        <v>21898.45</v>
      </c>
      <c r="J243" s="18"/>
      <c r="K243" s="18"/>
      <c r="L243" s="19">
        <f t="shared" si="6"/>
        <v>212135.11000000002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238869.39+294212.2+108763.6+244057.02</f>
        <v>885902.21000000008</v>
      </c>
      <c r="I247" s="18"/>
      <c r="J247" s="18"/>
      <c r="K247" s="18"/>
      <c r="L247" s="19">
        <f t="shared" si="6"/>
        <v>885902.21000000008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137698.75</v>
      </c>
      <c r="G248" s="41">
        <f t="shared" si="7"/>
        <v>52537.91</v>
      </c>
      <c r="H248" s="41">
        <f t="shared" si="7"/>
        <v>885902.21000000008</v>
      </c>
      <c r="I248" s="41">
        <f t="shared" si="7"/>
        <v>21898.45</v>
      </c>
      <c r="J248" s="41">
        <f t="shared" si="7"/>
        <v>0</v>
      </c>
      <c r="K248" s="41">
        <f t="shared" si="7"/>
        <v>0</v>
      </c>
      <c r="L248" s="41">
        <f>SUM(F248:K248)</f>
        <v>1098037.32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31585578.229999997</v>
      </c>
      <c r="G249" s="41">
        <f t="shared" si="8"/>
        <v>12232606.99</v>
      </c>
      <c r="H249" s="41">
        <f t="shared" si="8"/>
        <v>8070100.6400000006</v>
      </c>
      <c r="I249" s="41">
        <f t="shared" si="8"/>
        <v>2405845.37</v>
      </c>
      <c r="J249" s="41">
        <f t="shared" si="8"/>
        <v>842798.98</v>
      </c>
      <c r="K249" s="41">
        <f t="shared" si="8"/>
        <v>129764.02</v>
      </c>
      <c r="L249" s="41">
        <f t="shared" si="8"/>
        <v>55266694.230000012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1600000</v>
      </c>
      <c r="L252" s="19">
        <f>SUM(F252:K252)</f>
        <v>1600000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798000</v>
      </c>
      <c r="L253" s="19">
        <f>SUM(F253:K253)</f>
        <v>798000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2498000</v>
      </c>
      <c r="L262" s="41">
        <f t="shared" si="9"/>
        <v>2498000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31585578.229999997</v>
      </c>
      <c r="G263" s="42">
        <f t="shared" si="11"/>
        <v>12232606.99</v>
      </c>
      <c r="H263" s="42">
        <f t="shared" si="11"/>
        <v>8070100.6400000006</v>
      </c>
      <c r="I263" s="42">
        <f t="shared" si="11"/>
        <v>2405845.37</v>
      </c>
      <c r="J263" s="42">
        <f t="shared" si="11"/>
        <v>842798.98</v>
      </c>
      <c r="K263" s="42">
        <f t="shared" si="11"/>
        <v>2627764.02</v>
      </c>
      <c r="L263" s="42">
        <f t="shared" si="11"/>
        <v>57764694.230000012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76634.5</v>
      </c>
      <c r="G268" s="18">
        <v>7244.68</v>
      </c>
      <c r="H268" s="18">
        <v>15278.03</v>
      </c>
      <c r="I268" s="18">
        <v>8528.7199999999993</v>
      </c>
      <c r="J268" s="18">
        <v>12097.13</v>
      </c>
      <c r="K268" s="18"/>
      <c r="L268" s="19">
        <f>SUM(F268:K268)</f>
        <v>119783.06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299062.96+0.11</f>
        <v>299063.07</v>
      </c>
      <c r="G269" s="18">
        <v>3927.32</v>
      </c>
      <c r="H269" s="18">
        <v>108995.96</v>
      </c>
      <c r="I269" s="18">
        <v>38415.589999999997</v>
      </c>
      <c r="J269" s="18">
        <v>29806.38</v>
      </c>
      <c r="K269" s="18"/>
      <c r="L269" s="19">
        <f>SUM(F269:K269)</f>
        <v>480208.32000000007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>
        <v>514.16</v>
      </c>
      <c r="L271" s="19">
        <f>SUM(F271:K271)</f>
        <v>514.16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8408.5300000000007</v>
      </c>
      <c r="G273" s="18">
        <v>110.42</v>
      </c>
      <c r="H273" s="18"/>
      <c r="I273" s="18"/>
      <c r="J273" s="18"/>
      <c r="K273" s="18"/>
      <c r="L273" s="19">
        <f t="shared" ref="L273:L279" si="12">SUM(F273:K273)</f>
        <v>8518.9500000000007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18151.099999999999</v>
      </c>
      <c r="G274" s="18">
        <v>238.36</v>
      </c>
      <c r="H274" s="18">
        <v>36821.58</v>
      </c>
      <c r="I274" s="18">
        <v>6558.55</v>
      </c>
      <c r="J274" s="18"/>
      <c r="K274" s="18">
        <v>1196.76</v>
      </c>
      <c r="L274" s="19">
        <f t="shared" si="12"/>
        <v>62966.350000000006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402257.2</v>
      </c>
      <c r="G282" s="42">
        <f t="shared" si="13"/>
        <v>11520.78</v>
      </c>
      <c r="H282" s="42">
        <f t="shared" si="13"/>
        <v>161095.57</v>
      </c>
      <c r="I282" s="42">
        <f t="shared" si="13"/>
        <v>53502.86</v>
      </c>
      <c r="J282" s="42">
        <f t="shared" si="13"/>
        <v>41903.51</v>
      </c>
      <c r="K282" s="42">
        <f t="shared" si="13"/>
        <v>1710.92</v>
      </c>
      <c r="L282" s="41">
        <f t="shared" si="13"/>
        <v>671990.84000000008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48470.9</v>
      </c>
      <c r="G287" s="18">
        <v>4582.21</v>
      </c>
      <c r="H287" s="18">
        <v>9663.27</v>
      </c>
      <c r="I287" s="18">
        <v>5394.37</v>
      </c>
      <c r="J287" s="18">
        <v>88.63</v>
      </c>
      <c r="K287" s="18"/>
      <c r="L287" s="19">
        <f>SUM(F287:K287)</f>
        <v>68199.38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189155.65</v>
      </c>
      <c r="G288" s="18">
        <v>2484</v>
      </c>
      <c r="H288" s="18">
        <v>68939.34</v>
      </c>
      <c r="I288" s="18">
        <v>24297.64</v>
      </c>
      <c r="J288" s="18">
        <v>18852.37</v>
      </c>
      <c r="K288" s="18"/>
      <c r="L288" s="19">
        <f>SUM(F288:K288)</f>
        <v>303729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>
        <v>325.20999999999998</v>
      </c>
      <c r="L290" s="19">
        <f>SUM(F290:K290)</f>
        <v>325.20999999999998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5318.35</v>
      </c>
      <c r="G292" s="18">
        <v>69.84</v>
      </c>
      <c r="H292" s="18"/>
      <c r="I292" s="18"/>
      <c r="J292" s="18"/>
      <c r="K292" s="18"/>
      <c r="L292" s="19">
        <f t="shared" ref="L292:L298" si="14">SUM(F292:K292)</f>
        <v>5388.1900000000005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11480.47</v>
      </c>
      <c r="G293" s="18">
        <v>150.76</v>
      </c>
      <c r="H293" s="18">
        <v>23289.439999999999</v>
      </c>
      <c r="I293" s="18">
        <v>4148.25</v>
      </c>
      <c r="J293" s="18"/>
      <c r="K293" s="18">
        <v>756.94</v>
      </c>
      <c r="L293" s="19">
        <f t="shared" si="14"/>
        <v>39825.86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254425.37</v>
      </c>
      <c r="G301" s="42">
        <f t="shared" si="15"/>
        <v>7286.81</v>
      </c>
      <c r="H301" s="42">
        <f t="shared" si="15"/>
        <v>101892.05</v>
      </c>
      <c r="I301" s="42">
        <f t="shared" si="15"/>
        <v>33840.259999999995</v>
      </c>
      <c r="J301" s="42">
        <f t="shared" si="15"/>
        <v>18941</v>
      </c>
      <c r="K301" s="42">
        <f t="shared" si="15"/>
        <v>1082.1500000000001</v>
      </c>
      <c r="L301" s="41">
        <f t="shared" si="15"/>
        <v>417467.64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66297.36</v>
      </c>
      <c r="G306" s="18">
        <v>6267.45</v>
      </c>
      <c r="H306" s="18">
        <v>13217.2</v>
      </c>
      <c r="I306" s="18">
        <v>8426.9699999999993</v>
      </c>
      <c r="J306" s="18">
        <v>10116.219999999999</v>
      </c>
      <c r="K306" s="18"/>
      <c r="L306" s="19">
        <f>SUM(F306:K306)</f>
        <v>104325.2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258722.69</v>
      </c>
      <c r="G307" s="18">
        <v>3397.56</v>
      </c>
      <c r="H307" s="18">
        <v>94293.62</v>
      </c>
      <c r="I307" s="18">
        <v>33233.75</v>
      </c>
      <c r="J307" s="18">
        <v>25785.83</v>
      </c>
      <c r="K307" s="18"/>
      <c r="L307" s="19">
        <f>SUM(F307:K307)</f>
        <v>415433.45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>
        <v>444.81</v>
      </c>
      <c r="L309" s="19">
        <f>SUM(F309:K309)</f>
        <v>444.81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7274.32</v>
      </c>
      <c r="G311" s="18">
        <v>95.53</v>
      </c>
      <c r="H311" s="18"/>
      <c r="I311" s="18"/>
      <c r="J311" s="18"/>
      <c r="K311" s="18"/>
      <c r="L311" s="19">
        <f t="shared" ref="L311:L317" si="16">SUM(F311:K311)</f>
        <v>7369.8499999999995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15702.72</v>
      </c>
      <c r="G312" s="18">
        <v>206.21</v>
      </c>
      <c r="H312" s="18">
        <v>31854.75</v>
      </c>
      <c r="I312" s="18">
        <v>5673.87</v>
      </c>
      <c r="J312" s="18"/>
      <c r="K312" s="18">
        <v>1035.33</v>
      </c>
      <c r="L312" s="19">
        <f t="shared" si="16"/>
        <v>54472.880000000005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347997.08999999997</v>
      </c>
      <c r="G320" s="42">
        <f t="shared" si="17"/>
        <v>9966.75</v>
      </c>
      <c r="H320" s="42">
        <f t="shared" si="17"/>
        <v>139365.57</v>
      </c>
      <c r="I320" s="42">
        <f t="shared" si="17"/>
        <v>47334.590000000004</v>
      </c>
      <c r="J320" s="42">
        <f t="shared" si="17"/>
        <v>35902.050000000003</v>
      </c>
      <c r="K320" s="42">
        <f t="shared" si="17"/>
        <v>1480.1399999999999</v>
      </c>
      <c r="L320" s="41">
        <f t="shared" si="17"/>
        <v>582046.19000000006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16866.47</v>
      </c>
      <c r="G327" s="18">
        <v>1875.14</v>
      </c>
      <c r="H327" s="18">
        <f>22936.02+6018+8371.89</f>
        <v>37325.910000000003</v>
      </c>
      <c r="I327" s="18">
        <v>1999.75</v>
      </c>
      <c r="J327" s="18">
        <v>8421.5</v>
      </c>
      <c r="K327" s="18"/>
      <c r="L327" s="19">
        <f t="shared" si="18"/>
        <v>66488.77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16866.47</v>
      </c>
      <c r="G329" s="41">
        <f t="shared" si="19"/>
        <v>1875.14</v>
      </c>
      <c r="H329" s="41">
        <f t="shared" si="19"/>
        <v>37325.910000000003</v>
      </c>
      <c r="I329" s="41">
        <f t="shared" si="19"/>
        <v>1999.75</v>
      </c>
      <c r="J329" s="41">
        <f t="shared" si="19"/>
        <v>8421.5</v>
      </c>
      <c r="K329" s="41">
        <f t="shared" si="19"/>
        <v>0</v>
      </c>
      <c r="L329" s="41">
        <f t="shared" si="18"/>
        <v>66488.77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1021546.13</v>
      </c>
      <c r="G330" s="41">
        <f t="shared" si="20"/>
        <v>30649.48</v>
      </c>
      <c r="H330" s="41">
        <f t="shared" si="20"/>
        <v>439679.1</v>
      </c>
      <c r="I330" s="41">
        <f t="shared" si="20"/>
        <v>136677.46</v>
      </c>
      <c r="J330" s="41">
        <f t="shared" si="20"/>
        <v>105168.06</v>
      </c>
      <c r="K330" s="41">
        <f t="shared" si="20"/>
        <v>4273.21</v>
      </c>
      <c r="L330" s="41">
        <f t="shared" si="20"/>
        <v>1737993.44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1021546.13</v>
      </c>
      <c r="G344" s="41">
        <f>G330</f>
        <v>30649.48</v>
      </c>
      <c r="H344" s="41">
        <f>H330</f>
        <v>439679.1</v>
      </c>
      <c r="I344" s="41">
        <f>I330</f>
        <v>136677.46</v>
      </c>
      <c r="J344" s="41">
        <f>J330</f>
        <v>105168.06</v>
      </c>
      <c r="K344" s="47">
        <f>K330+K343</f>
        <v>4273.21</v>
      </c>
      <c r="L344" s="41">
        <f>L330+L343</f>
        <v>1737993.44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221340.98</v>
      </c>
      <c r="G350" s="18">
        <v>52290.57</v>
      </c>
      <c r="H350" s="18">
        <v>364158.23</v>
      </c>
      <c r="I350" s="18">
        <v>41549.910000000003</v>
      </c>
      <c r="J350" s="18">
        <v>227.11</v>
      </c>
      <c r="K350" s="18">
        <v>9395.51</v>
      </c>
      <c r="L350" s="13">
        <f>SUM(F350:K350)</f>
        <v>688962.31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80792.92</v>
      </c>
      <c r="G351" s="18">
        <v>19086.87</v>
      </c>
      <c r="H351" s="18">
        <v>228389.68</v>
      </c>
      <c r="I351" s="18">
        <v>22656.42</v>
      </c>
      <c r="J351" s="18">
        <v>143.65</v>
      </c>
      <c r="K351" s="18">
        <v>5942.61</v>
      </c>
      <c r="L351" s="19">
        <f>SUM(F351:K351)</f>
        <v>357012.14999999997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152477.44</v>
      </c>
      <c r="G352" s="18">
        <v>36021.94</v>
      </c>
      <c r="H352" s="18">
        <v>313499.71000000002</v>
      </c>
      <c r="I352" s="18">
        <v>34315.800000000003</v>
      </c>
      <c r="J352" s="18">
        <v>196.48</v>
      </c>
      <c r="K352" s="18">
        <v>8128.15</v>
      </c>
      <c r="L352" s="19">
        <f>SUM(F352:K352)</f>
        <v>544639.52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454611.34</v>
      </c>
      <c r="G354" s="47">
        <f t="shared" si="22"/>
        <v>107399.38</v>
      </c>
      <c r="H354" s="47">
        <f t="shared" si="22"/>
        <v>906047.61999999988</v>
      </c>
      <c r="I354" s="47">
        <f t="shared" si="22"/>
        <v>98522.13</v>
      </c>
      <c r="J354" s="47">
        <f t="shared" si="22"/>
        <v>567.24</v>
      </c>
      <c r="K354" s="47">
        <f t="shared" si="22"/>
        <v>23466.269999999997</v>
      </c>
      <c r="L354" s="47">
        <f t="shared" si="22"/>
        <v>1590613.98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34504.1-0.01</f>
        <v>34504.089999999997</v>
      </c>
      <c r="G359" s="18">
        <v>21823.65</v>
      </c>
      <c r="H359" s="18">
        <v>29849.88</v>
      </c>
      <c r="I359" s="56">
        <f>SUM(F359:H359)</f>
        <v>86177.62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7045.81</v>
      </c>
      <c r="G360" s="63">
        <v>832.78</v>
      </c>
      <c r="H360" s="63">
        <v>4465.92</v>
      </c>
      <c r="I360" s="56">
        <f>SUM(F360:H360)</f>
        <v>12344.51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41549.899999999994</v>
      </c>
      <c r="G361" s="47">
        <f>SUM(G359:G360)</f>
        <v>22656.43</v>
      </c>
      <c r="H361" s="47">
        <f>SUM(H359:H360)</f>
        <v>34315.800000000003</v>
      </c>
      <c r="I361" s="47">
        <f>SUM(I359:I360)</f>
        <v>98522.12999999999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>
        <v>100000</v>
      </c>
      <c r="H380" s="18">
        <v>484.96</v>
      </c>
      <c r="I380" s="18"/>
      <c r="J380" s="24" t="s">
        <v>312</v>
      </c>
      <c r="K380" s="24" t="s">
        <v>312</v>
      </c>
      <c r="L380" s="56">
        <f t="shared" si="25"/>
        <v>100484.96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100000</v>
      </c>
      <c r="H385" s="139">
        <f>SUM(H379:H384)</f>
        <v>484.96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100484.96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484.96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100484.96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225000</v>
      </c>
      <c r="L407" s="56">
        <f t="shared" si="27"/>
        <v>225000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225000</v>
      </c>
      <c r="L411" s="47">
        <f t="shared" si="28"/>
        <v>225000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225000</v>
      </c>
      <c r="L426" s="47">
        <f t="shared" si="32"/>
        <v>225000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303951.28999999998</v>
      </c>
      <c r="G432" s="18"/>
      <c r="H432" s="18"/>
      <c r="I432" s="56">
        <f t="shared" si="33"/>
        <v>303951.28999999998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303951.28999999998</v>
      </c>
      <c r="G438" s="13">
        <f>SUM(G431:G437)</f>
        <v>0</v>
      </c>
      <c r="H438" s="13">
        <f>SUM(H431:H437)</f>
        <v>0</v>
      </c>
      <c r="I438" s="13">
        <f>SUM(I431:I437)</f>
        <v>303951.28999999998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303951.28999999998</v>
      </c>
      <c r="G449" s="18"/>
      <c r="H449" s="18"/>
      <c r="I449" s="56">
        <f>SUM(F449:H449)</f>
        <v>303951.28999999998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303951.28999999998</v>
      </c>
      <c r="G450" s="83">
        <f>SUM(G446:G449)</f>
        <v>0</v>
      </c>
      <c r="H450" s="83">
        <f>SUM(H446:H449)</f>
        <v>0</v>
      </c>
      <c r="I450" s="83">
        <f>SUM(I446:I449)</f>
        <v>303951.28999999998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303951.28999999998</v>
      </c>
      <c r="G451" s="42">
        <f>G444+G450</f>
        <v>0</v>
      </c>
      <c r="H451" s="42">
        <f>H444+H450</f>
        <v>0</v>
      </c>
      <c r="I451" s="42">
        <f>I444+I450</f>
        <v>303951.28999999998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2587411.16</v>
      </c>
      <c r="G455" s="18">
        <v>52290.11</v>
      </c>
      <c r="H455" s="18">
        <v>28972.03</v>
      </c>
      <c r="I455" s="18">
        <v>0</v>
      </c>
      <c r="J455" s="18">
        <v>428466.33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57765436.439999998</v>
      </c>
      <c r="G458" s="18">
        <v>1573041.71</v>
      </c>
      <c r="H458" s="18">
        <f>72502.33+1160856.18+510648.49</f>
        <v>1744007</v>
      </c>
      <c r="I458" s="18"/>
      <c r="J458" s="18">
        <v>100484.96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57765436.439999998</v>
      </c>
      <c r="G460" s="53">
        <f>SUM(G458:G459)</f>
        <v>1573041.71</v>
      </c>
      <c r="H460" s="53">
        <f>SUM(H458:H459)</f>
        <v>1744007</v>
      </c>
      <c r="I460" s="53">
        <f>SUM(I458:I459)</f>
        <v>0</v>
      </c>
      <c r="J460" s="53">
        <f>SUM(J458:J459)</f>
        <v>100484.96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57764694.23</f>
        <v>57764694.229999997</v>
      </c>
      <c r="G462" s="18">
        <f>1590613.98</f>
        <v>1590613.98</v>
      </c>
      <c r="H462" s="18">
        <f>66488.77+1160856.18+510648.49</f>
        <v>1737993.44</v>
      </c>
      <c r="I462" s="18"/>
      <c r="J462" s="18">
        <v>225000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57764694.229999997</v>
      </c>
      <c r="G464" s="53">
        <f>SUM(G462:G463)</f>
        <v>1590613.98</v>
      </c>
      <c r="H464" s="53">
        <f>SUM(H462:H463)</f>
        <v>1737993.44</v>
      </c>
      <c r="I464" s="53">
        <f>SUM(I462:I463)</f>
        <v>0</v>
      </c>
      <c r="J464" s="53">
        <f>SUM(J462:J463)</f>
        <v>225000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2588153.3699999973</v>
      </c>
      <c r="G466" s="53">
        <f>(G455+G460)- G464</f>
        <v>34717.840000000084</v>
      </c>
      <c r="H466" s="53">
        <f>(H455+H460)- H464</f>
        <v>34985.590000000084</v>
      </c>
      <c r="I466" s="53">
        <f>(I455+I460)- I464</f>
        <v>0</v>
      </c>
      <c r="J466" s="53">
        <f>(J455+J460)- J464</f>
        <v>303951.29000000004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32000000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272" t="s">
        <v>897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16000000</v>
      </c>
      <c r="G485" s="18"/>
      <c r="H485" s="18"/>
      <c r="I485" s="18"/>
      <c r="J485" s="18"/>
      <c r="K485" s="53">
        <f>SUM(F485:J485)</f>
        <v>16000000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1600000</v>
      </c>
      <c r="G487" s="18"/>
      <c r="H487" s="18"/>
      <c r="I487" s="18"/>
      <c r="J487" s="18"/>
      <c r="K487" s="53">
        <f t="shared" si="34"/>
        <v>1600000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F485+F486-F487</f>
        <v>14400000</v>
      </c>
      <c r="G488" s="205"/>
      <c r="H488" s="205"/>
      <c r="I488" s="205"/>
      <c r="J488" s="205"/>
      <c r="K488" s="206">
        <f t="shared" si="34"/>
        <v>14400000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3402000</v>
      </c>
      <c r="G489" s="18"/>
      <c r="H489" s="18"/>
      <c r="I489" s="18"/>
      <c r="J489" s="18"/>
      <c r="K489" s="53">
        <f t="shared" si="34"/>
        <v>3402000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17802000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17802000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1600000</v>
      </c>
      <c r="G491" s="205"/>
      <c r="H491" s="205"/>
      <c r="I491" s="205"/>
      <c r="J491" s="205"/>
      <c r="K491" s="206">
        <f t="shared" si="34"/>
        <v>1600000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714000</v>
      </c>
      <c r="G492" s="18"/>
      <c r="H492" s="18"/>
      <c r="I492" s="18"/>
      <c r="J492" s="18"/>
      <c r="K492" s="53">
        <f t="shared" si="34"/>
        <v>714000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2314000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2314000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271">
        <v>2133799.13</v>
      </c>
      <c r="G511" s="271">
        <v>703956.98</v>
      </c>
      <c r="H511" s="271">
        <v>478616.22</v>
      </c>
      <c r="I511" s="271">
        <v>52407.11</v>
      </c>
      <c r="J511" s="271">
        <v>33983.51</v>
      </c>
      <c r="K511" s="18"/>
      <c r="L511" s="88">
        <f>SUM(F511:K511)</f>
        <v>3402762.9499999997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271">
        <v>1778567.61</v>
      </c>
      <c r="G512" s="271">
        <v>608912.06999999995</v>
      </c>
      <c r="H512" s="271">
        <v>297379.99</v>
      </c>
      <c r="I512" s="271">
        <v>33486.74</v>
      </c>
      <c r="J512" s="271">
        <v>20399.63</v>
      </c>
      <c r="K512" s="18"/>
      <c r="L512" s="88">
        <f>SUM(F512:K512)</f>
        <v>2738746.04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271">
        <v>2025286.67</v>
      </c>
      <c r="G513" s="271">
        <v>677416.65</v>
      </c>
      <c r="H513" s="271">
        <v>1555337.58</v>
      </c>
      <c r="I513" s="271">
        <v>44605.43</v>
      </c>
      <c r="J513" s="271">
        <v>29161.21</v>
      </c>
      <c r="K513" s="18"/>
      <c r="L513" s="88">
        <f>SUM(F513:K513)</f>
        <v>4331807.54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5937653.4100000001</v>
      </c>
      <c r="G514" s="108">
        <f t="shared" ref="G514:L514" si="35">SUM(G511:G513)</f>
        <v>1990285.6999999997</v>
      </c>
      <c r="H514" s="108">
        <f t="shared" si="35"/>
        <v>2331333.79</v>
      </c>
      <c r="I514" s="108">
        <f t="shared" si="35"/>
        <v>130499.28</v>
      </c>
      <c r="J514" s="108">
        <f t="shared" si="35"/>
        <v>83544.350000000006</v>
      </c>
      <c r="K514" s="108">
        <f t="shared" si="35"/>
        <v>0</v>
      </c>
      <c r="L514" s="89">
        <f t="shared" si="35"/>
        <v>10473316.530000001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479655.25</v>
      </c>
      <c r="G516" s="18">
        <v>183008.82</v>
      </c>
      <c r="H516" s="18">
        <v>31867.1</v>
      </c>
      <c r="I516" s="18">
        <v>6449.42</v>
      </c>
      <c r="J516" s="18"/>
      <c r="K516" s="18">
        <v>6052.61</v>
      </c>
      <c r="L516" s="88">
        <f>SUM(F516:K516)</f>
        <v>707033.20000000007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303318.46000000002</v>
      </c>
      <c r="G517" s="18">
        <v>115728.86</v>
      </c>
      <c r="H517" s="18">
        <v>20151.72</v>
      </c>
      <c r="I517" s="18">
        <v>4078.4</v>
      </c>
      <c r="J517" s="18"/>
      <c r="K517" s="18">
        <v>3827.47</v>
      </c>
      <c r="L517" s="88">
        <f>SUM(F517:K517)</f>
        <v>447104.91000000003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414966.48</v>
      </c>
      <c r="G518" s="18">
        <v>158327.31</v>
      </c>
      <c r="H518" s="18">
        <v>27569.34</v>
      </c>
      <c r="I518" s="18">
        <v>5579.62</v>
      </c>
      <c r="J518" s="18"/>
      <c r="K518" s="18">
        <v>5236.32</v>
      </c>
      <c r="L518" s="88">
        <f>SUM(F518:K518)</f>
        <v>611679.06999999995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1197940.19</v>
      </c>
      <c r="G519" s="89">
        <f t="shared" ref="G519:L519" si="36">SUM(G516:G518)</f>
        <v>457064.99</v>
      </c>
      <c r="H519" s="89">
        <f t="shared" si="36"/>
        <v>79588.160000000003</v>
      </c>
      <c r="I519" s="89">
        <f t="shared" si="36"/>
        <v>16107.439999999999</v>
      </c>
      <c r="J519" s="89">
        <f t="shared" si="36"/>
        <v>0</v>
      </c>
      <c r="K519" s="89">
        <f t="shared" si="36"/>
        <v>15116.4</v>
      </c>
      <c r="L519" s="89">
        <f t="shared" si="36"/>
        <v>1765817.1800000002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129853.44</v>
      </c>
      <c r="G521" s="18">
        <v>49544.6</v>
      </c>
      <c r="H521" s="18">
        <v>2167.65</v>
      </c>
      <c r="I521" s="18">
        <v>819.22</v>
      </c>
      <c r="J521" s="18"/>
      <c r="K521" s="18"/>
      <c r="L521" s="88">
        <f>SUM(F521:K521)</f>
        <v>182384.91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82115.11</v>
      </c>
      <c r="G522" s="18">
        <v>31330.400000000001</v>
      </c>
      <c r="H522" s="18">
        <v>1370.75</v>
      </c>
      <c r="I522" s="18">
        <v>518.04999999999995</v>
      </c>
      <c r="J522" s="18"/>
      <c r="K522" s="18"/>
      <c r="L522" s="88">
        <f>SUM(F522:K522)</f>
        <v>115334.31000000001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112340.73</v>
      </c>
      <c r="G523" s="18">
        <v>42862.75</v>
      </c>
      <c r="H523" s="18">
        <v>1875.32</v>
      </c>
      <c r="I523" s="18">
        <v>708.73</v>
      </c>
      <c r="J523" s="18"/>
      <c r="K523" s="18"/>
      <c r="L523" s="88">
        <f>SUM(F523:K523)</f>
        <v>157787.53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324309.27999999997</v>
      </c>
      <c r="G524" s="89">
        <f t="shared" ref="G524:L524" si="37">SUM(G521:G523)</f>
        <v>123737.75</v>
      </c>
      <c r="H524" s="89">
        <f t="shared" si="37"/>
        <v>5413.72</v>
      </c>
      <c r="I524" s="89">
        <f t="shared" si="37"/>
        <v>2046</v>
      </c>
      <c r="J524" s="89">
        <f t="shared" si="37"/>
        <v>0</v>
      </c>
      <c r="K524" s="89">
        <f t="shared" si="37"/>
        <v>0</v>
      </c>
      <c r="L524" s="89">
        <f t="shared" si="37"/>
        <v>455506.75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15860.86</v>
      </c>
      <c r="I526" s="18"/>
      <c r="J526" s="18"/>
      <c r="K526" s="18"/>
      <c r="L526" s="88">
        <f>SUM(F526:K526)</f>
        <v>15860.86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10029.89</v>
      </c>
      <c r="I527" s="18"/>
      <c r="J527" s="18"/>
      <c r="K527" s="18"/>
      <c r="L527" s="88">
        <f>SUM(F527:K527)</f>
        <v>10029.89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13721.78</v>
      </c>
      <c r="I528" s="18"/>
      <c r="J528" s="18"/>
      <c r="K528" s="18"/>
      <c r="L528" s="88">
        <f>SUM(F528:K528)</f>
        <v>13721.78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39612.53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39612.53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338746.98</v>
      </c>
      <c r="I531" s="18"/>
      <c r="J531" s="18"/>
      <c r="K531" s="18"/>
      <c r="L531" s="88">
        <f>SUM(F531:K531)</f>
        <v>338746.98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214212.63</v>
      </c>
      <c r="I532" s="18"/>
      <c r="J532" s="18"/>
      <c r="K532" s="18"/>
      <c r="L532" s="88">
        <f>SUM(F532:K532)</f>
        <v>214212.63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293061.83</v>
      </c>
      <c r="I533" s="18"/>
      <c r="J533" s="18"/>
      <c r="K533" s="18"/>
      <c r="L533" s="88">
        <f>SUM(F533:K533)</f>
        <v>293061.83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846021.44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846021.44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7459902.8799999999</v>
      </c>
      <c r="G535" s="89">
        <f t="shared" ref="G535:L535" si="40">G514+G519+G524+G529+G534</f>
        <v>2571088.4399999995</v>
      </c>
      <c r="H535" s="89">
        <f t="shared" si="40"/>
        <v>3301969.64</v>
      </c>
      <c r="I535" s="89">
        <f t="shared" si="40"/>
        <v>148652.72</v>
      </c>
      <c r="J535" s="89">
        <f t="shared" si="40"/>
        <v>83544.350000000006</v>
      </c>
      <c r="K535" s="89">
        <f t="shared" si="40"/>
        <v>15116.4</v>
      </c>
      <c r="L535" s="89">
        <f t="shared" si="40"/>
        <v>13580274.43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3402762.9499999997</v>
      </c>
      <c r="G539" s="87">
        <f>L516</f>
        <v>707033.20000000007</v>
      </c>
      <c r="H539" s="87">
        <f>L521</f>
        <v>182384.91</v>
      </c>
      <c r="I539" s="87">
        <f>L526</f>
        <v>15860.86</v>
      </c>
      <c r="J539" s="87">
        <f>L531</f>
        <v>338746.98</v>
      </c>
      <c r="K539" s="87">
        <f>SUM(F539:J539)</f>
        <v>4646788.9000000004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2738746.04</v>
      </c>
      <c r="G540" s="87">
        <f>L517</f>
        <v>447104.91000000003</v>
      </c>
      <c r="H540" s="87">
        <f>L522</f>
        <v>115334.31000000001</v>
      </c>
      <c r="I540" s="87">
        <f>L527</f>
        <v>10029.89</v>
      </c>
      <c r="J540" s="87">
        <f>L532</f>
        <v>214212.63</v>
      </c>
      <c r="K540" s="87">
        <f>SUM(F540:J540)</f>
        <v>3525427.7800000003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4331807.54</v>
      </c>
      <c r="G541" s="87">
        <f>L518</f>
        <v>611679.06999999995</v>
      </c>
      <c r="H541" s="87">
        <f>L523</f>
        <v>157787.53</v>
      </c>
      <c r="I541" s="87">
        <f>L528</f>
        <v>13721.78</v>
      </c>
      <c r="J541" s="87">
        <f>L533</f>
        <v>293061.83</v>
      </c>
      <c r="K541" s="87">
        <f>SUM(F541:J541)</f>
        <v>5408057.7500000009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10473316.530000001</v>
      </c>
      <c r="G542" s="89">
        <f t="shared" si="41"/>
        <v>1765817.1800000002</v>
      </c>
      <c r="H542" s="89">
        <f t="shared" si="41"/>
        <v>455506.75</v>
      </c>
      <c r="I542" s="89">
        <f t="shared" si="41"/>
        <v>39612.53</v>
      </c>
      <c r="J542" s="89">
        <f t="shared" si="41"/>
        <v>846021.44</v>
      </c>
      <c r="K542" s="89">
        <f t="shared" si="41"/>
        <v>13580274.430000002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295712.09000000003</v>
      </c>
      <c r="G557" s="18">
        <v>97585</v>
      </c>
      <c r="H557" s="18"/>
      <c r="I557" s="18">
        <v>2921.65</v>
      </c>
      <c r="J557" s="18"/>
      <c r="K557" s="18"/>
      <c r="L557" s="88">
        <f>SUM(F557:K557)</f>
        <v>396218.74000000005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51651</v>
      </c>
      <c r="G558" s="18">
        <v>17044.830000000002</v>
      </c>
      <c r="H558" s="18"/>
      <c r="I558" s="18">
        <f>1543.91+1287.85</f>
        <v>2831.76</v>
      </c>
      <c r="J558" s="18">
        <v>339.1</v>
      </c>
      <c r="K558" s="18"/>
      <c r="L558" s="88">
        <f>SUM(F558:K558)</f>
        <v>71866.69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>
        <f>520+4898.48</f>
        <v>5418.48</v>
      </c>
      <c r="I559" s="18">
        <v>1500</v>
      </c>
      <c r="J559" s="18"/>
      <c r="K559" s="18"/>
      <c r="L559" s="88">
        <f>SUM(F559:K559)</f>
        <v>6918.48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347363.09</v>
      </c>
      <c r="G560" s="194">
        <f t="shared" ref="G560:L560" si="44">SUM(G557:G559)</f>
        <v>114629.83</v>
      </c>
      <c r="H560" s="194">
        <f t="shared" si="44"/>
        <v>5418.48</v>
      </c>
      <c r="I560" s="194">
        <f t="shared" si="44"/>
        <v>7253.41</v>
      </c>
      <c r="J560" s="194">
        <f t="shared" si="44"/>
        <v>339.1</v>
      </c>
      <c r="K560" s="194">
        <f t="shared" si="44"/>
        <v>0</v>
      </c>
      <c r="L560" s="194">
        <f t="shared" si="44"/>
        <v>475003.91000000003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347363.09</v>
      </c>
      <c r="G561" s="89">
        <f t="shared" ref="G561:L561" si="45">G550+G555+G560</f>
        <v>114629.83</v>
      </c>
      <c r="H561" s="89">
        <f t="shared" si="45"/>
        <v>5418.48</v>
      </c>
      <c r="I561" s="89">
        <f t="shared" si="45"/>
        <v>7253.41</v>
      </c>
      <c r="J561" s="89">
        <f t="shared" si="45"/>
        <v>339.1</v>
      </c>
      <c r="K561" s="89">
        <f t="shared" si="45"/>
        <v>0</v>
      </c>
      <c r="L561" s="89">
        <f t="shared" si="45"/>
        <v>475003.91000000003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160216.04999999999</v>
      </c>
      <c r="G572" s="18">
        <v>95286.48</v>
      </c>
      <c r="H572" s="18">
        <v>1468945.93</v>
      </c>
      <c r="I572" s="87">
        <f t="shared" si="46"/>
        <v>1724448.46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38903.74</v>
      </c>
      <c r="I574" s="87">
        <f t="shared" si="46"/>
        <v>38903.74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5855.7</v>
      </c>
      <c r="I576" s="87">
        <f t="shared" si="46"/>
        <v>5855.7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636258.06000000006</v>
      </c>
      <c r="I581" s="18">
        <v>402472.61</v>
      </c>
      <c r="J581" s="18">
        <v>535892.53</v>
      </c>
      <c r="K581" s="104">
        <f t="shared" ref="K581:K587" si="47">SUM(H581:J581)</f>
        <v>1574623.2000000002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338746.98</v>
      </c>
      <c r="I582" s="18">
        <v>214212.63</v>
      </c>
      <c r="J582" s="18">
        <v>293061.83</v>
      </c>
      <c r="K582" s="104">
        <f t="shared" si="47"/>
        <v>846021.44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52099.199999999997</v>
      </c>
      <c r="K583" s="104">
        <f t="shared" si="47"/>
        <v>52099.199999999997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16276.65</v>
      </c>
      <c r="J584" s="18">
        <v>64376.06</v>
      </c>
      <c r="K584" s="104">
        <f t="shared" si="47"/>
        <v>80652.709999999992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7506.2</v>
      </c>
      <c r="I585" s="18">
        <v>5881.76</v>
      </c>
      <c r="J585" s="18">
        <v>7693.29</v>
      </c>
      <c r="K585" s="104">
        <f t="shared" si="47"/>
        <v>21081.25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>
        <v>14533.35</v>
      </c>
      <c r="K587" s="104">
        <f t="shared" si="47"/>
        <v>14533.35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982511.24</v>
      </c>
      <c r="I588" s="108">
        <f>SUM(I581:I587)</f>
        <v>638843.65</v>
      </c>
      <c r="J588" s="108">
        <f>SUM(J581:J587)</f>
        <v>967656.26000000013</v>
      </c>
      <c r="K588" s="108">
        <f>SUM(K581:K587)</f>
        <v>2589011.1500000004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346313.76</v>
      </c>
      <c r="I594" s="18">
        <v>224169</v>
      </c>
      <c r="J594" s="18">
        <f>369062.78+8421.5</f>
        <v>377484.28</v>
      </c>
      <c r="K594" s="104">
        <f>SUM(H594:J594)</f>
        <v>947967.04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346313.76</v>
      </c>
      <c r="I595" s="108">
        <f>SUM(I592:I594)</f>
        <v>224169</v>
      </c>
      <c r="J595" s="108">
        <f>SUM(J592:J594)</f>
        <v>377484.28</v>
      </c>
      <c r="K595" s="108">
        <f>SUM(K592:K594)</f>
        <v>947967.04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2890518.97</v>
      </c>
      <c r="H607" s="109">
        <f>SUM(F44)</f>
        <v>2890518.97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421274.33</v>
      </c>
      <c r="H608" s="109">
        <f>SUM(G44)</f>
        <v>421274.32999999996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524409.77</v>
      </c>
      <c r="H609" s="109">
        <f>SUM(H44)</f>
        <v>524409.77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303951.28999999998</v>
      </c>
      <c r="H611" s="109">
        <f>SUM(J44)</f>
        <v>303951.28999999998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2588153.37</v>
      </c>
      <c r="H612" s="109">
        <f>F466</f>
        <v>2588153.3699999973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34717.839999999997</v>
      </c>
      <c r="H613" s="109">
        <f>G466</f>
        <v>34717.840000000084</v>
      </c>
      <c r="I613" s="121" t="s">
        <v>108</v>
      </c>
      <c r="J613" s="109">
        <f t="shared" si="49"/>
        <v>-8.7311491370201111E-11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34985.589999999997</v>
      </c>
      <c r="H614" s="109">
        <f>H466</f>
        <v>34985.590000000084</v>
      </c>
      <c r="I614" s="121" t="s">
        <v>110</v>
      </c>
      <c r="J614" s="109">
        <f t="shared" si="49"/>
        <v>-8.7311491370201111E-11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303951.28999999998</v>
      </c>
      <c r="H616" s="109">
        <f>J466</f>
        <v>303951.29000000004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57765436.439999998</v>
      </c>
      <c r="H617" s="104">
        <f>SUM(F458)</f>
        <v>57765436.439999998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1573041.71</v>
      </c>
      <c r="H618" s="104">
        <f>SUM(G458)</f>
        <v>1573041.71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1744007</v>
      </c>
      <c r="H619" s="104">
        <f>SUM(H458)</f>
        <v>1744007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100484.96</v>
      </c>
      <c r="H621" s="104">
        <f>SUM(J458)</f>
        <v>100484.96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57764694.230000012</v>
      </c>
      <c r="H622" s="104">
        <f>SUM(F462)</f>
        <v>57764694.229999997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1737993.44</v>
      </c>
      <c r="H623" s="104">
        <f>SUM(H462)</f>
        <v>1737993.44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98522.13</v>
      </c>
      <c r="H624" s="104">
        <f>I361</f>
        <v>98522.12999999999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1590613.98</v>
      </c>
      <c r="H625" s="104">
        <f>SUM(G462)</f>
        <v>1590613.98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100484.96</v>
      </c>
      <c r="H627" s="164">
        <f>SUM(J458)</f>
        <v>100484.96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225000</v>
      </c>
      <c r="H628" s="164">
        <f>SUM(J462)</f>
        <v>225000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303951.28999999998</v>
      </c>
      <c r="H629" s="104">
        <f>SUM(F451)</f>
        <v>303951.28999999998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303951.28999999998</v>
      </c>
      <c r="H632" s="104">
        <f>SUM(I451)</f>
        <v>303951.28999999998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484.96</v>
      </c>
      <c r="H634" s="104">
        <f>H400</f>
        <v>484.96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100484.96</v>
      </c>
      <c r="H636" s="104">
        <f>L400</f>
        <v>100484.96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2589011.1500000004</v>
      </c>
      <c r="H637" s="104">
        <f>L200+L218+L236</f>
        <v>2589011.1500000004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947967.04</v>
      </c>
      <c r="H638" s="104">
        <f>(J249+J330)-(J247+J328)</f>
        <v>947967.04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982511.24</v>
      </c>
      <c r="H639" s="104">
        <f>H588</f>
        <v>982511.24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638843.65</v>
      </c>
      <c r="H640" s="104">
        <f>I588</f>
        <v>638843.65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967656.26</v>
      </c>
      <c r="H641" s="104">
        <f>J588</f>
        <v>967656.26000000013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22987992.169999998</v>
      </c>
      <c r="G650" s="19">
        <f>(L221+L301+L351)</f>
        <v>14335492.400000002</v>
      </c>
      <c r="H650" s="19">
        <f>(L239+L320+L352)</f>
        <v>20107290.990000006</v>
      </c>
      <c r="I650" s="19">
        <f>SUM(F650:H650)</f>
        <v>57430775.560000002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498075.12886851153</v>
      </c>
      <c r="G651" s="19">
        <f>(L351/IF(SUM(L350:L352)=0,1,SUM(L350:L352))*(SUM(G89:G102)))</f>
        <v>258096.66223813366</v>
      </c>
      <c r="H651" s="19">
        <f>(L352/IF(SUM(L350:L352)=0,1,SUM(L350:L352))*(SUM(G89:G102)))</f>
        <v>393739.09889335494</v>
      </c>
      <c r="I651" s="19">
        <f>SUM(F651:H651)</f>
        <v>1149910.8900000001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982511.24</v>
      </c>
      <c r="G652" s="19">
        <f>(L218+L298)-(J218+J298)</f>
        <v>638843.65</v>
      </c>
      <c r="H652" s="19">
        <f>(L236+L317)-(J236+J317)</f>
        <v>967656.26</v>
      </c>
      <c r="I652" s="19">
        <f>SUM(F652:H652)</f>
        <v>2589011.1500000004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506529.81</v>
      </c>
      <c r="G653" s="200">
        <f>SUM(G565:G577)+SUM(I592:I594)+L602</f>
        <v>319455.48</v>
      </c>
      <c r="H653" s="200">
        <f>SUM(H565:H577)+SUM(J592:J594)+L603</f>
        <v>1891189.65</v>
      </c>
      <c r="I653" s="19">
        <f>SUM(F653:H653)</f>
        <v>2717174.94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21000875.991131485</v>
      </c>
      <c r="G654" s="19">
        <f>G650-SUM(G651:G653)</f>
        <v>13119096.607761869</v>
      </c>
      <c r="H654" s="19">
        <f>H650-SUM(H651:H653)</f>
        <v>16854705.98110665</v>
      </c>
      <c r="I654" s="19">
        <f>I650-SUM(I651:I653)</f>
        <v>50974678.579999998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1651.73</v>
      </c>
      <c r="G655" s="249">
        <v>1044.71</v>
      </c>
      <c r="H655" s="249">
        <v>1428.93</v>
      </c>
      <c r="I655" s="19">
        <f>SUM(F655:H655)</f>
        <v>4125.37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12714.47</v>
      </c>
      <c r="G657" s="19">
        <f>ROUND(G654/G655,2)</f>
        <v>12557.64</v>
      </c>
      <c r="H657" s="19">
        <f>ROUND(H654/H655,2)</f>
        <v>11795.33</v>
      </c>
      <c r="I657" s="19">
        <f>ROUND(I654/I655,2)</f>
        <v>12356.39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-19.239999999999998</v>
      </c>
      <c r="I660" s="19">
        <f>SUM(F660:H660)</f>
        <v>-19.239999999999998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12714.47</v>
      </c>
      <c r="G662" s="19">
        <f>ROUND((G654+G659)/(G655+G660),2)</f>
        <v>12557.64</v>
      </c>
      <c r="H662" s="19">
        <f>ROUND((H654+H659)/(H655+H660),2)</f>
        <v>11956.32</v>
      </c>
      <c r="I662" s="19">
        <f>ROUND((I654+I659)/(I655+I660),2)</f>
        <v>12414.29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4641-6312-4EFC-AF12-A5C87F2AD45C}">
  <sheetPr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Timberlane Regional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6" t="s">
        <v>815</v>
      </c>
      <c r="B3" s="276"/>
      <c r="C3" s="276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814</v>
      </c>
      <c r="C6" s="275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17617476.129999995</v>
      </c>
      <c r="C9" s="230">
        <f>'DOE25'!G189+'DOE25'!G207+'DOE25'!G225+'DOE25'!G268+'DOE25'!G287+'DOE25'!G306</f>
        <v>6666880.4000000004</v>
      </c>
    </row>
    <row r="10" spans="1:3" x14ac:dyDescent="0.2">
      <c r="A10" t="s">
        <v>810</v>
      </c>
      <c r="B10" s="241">
        <v>16056565.220000001</v>
      </c>
      <c r="C10" s="241">
        <f>B10/B9*C9</f>
        <v>6076193.8410833953</v>
      </c>
    </row>
    <row r="11" spans="1:3" x14ac:dyDescent="0.2">
      <c r="A11" t="s">
        <v>811</v>
      </c>
      <c r="B11" s="241">
        <v>1023489.11</v>
      </c>
      <c r="C11" s="241">
        <f>B11/B10*C10</f>
        <v>387313.11095424462</v>
      </c>
    </row>
    <row r="12" spans="1:3" x14ac:dyDescent="0.2">
      <c r="A12" t="s">
        <v>812</v>
      </c>
      <c r="B12" s="241">
        <f>193598.08+343823.72</f>
        <v>537421.79999999993</v>
      </c>
      <c r="C12" s="241">
        <f>C9-C10-C11</f>
        <v>203373.44796236046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17617476.130000003</v>
      </c>
      <c r="C13" s="232">
        <f>SUM(C10:C12)</f>
        <v>6666880.4000000004</v>
      </c>
    </row>
    <row r="14" spans="1:3" x14ac:dyDescent="0.2">
      <c r="B14" s="231"/>
      <c r="C14" s="231"/>
    </row>
    <row r="15" spans="1:3" x14ac:dyDescent="0.2">
      <c r="B15" s="275" t="s">
        <v>814</v>
      </c>
      <c r="C15" s="275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6261962.8000000017</v>
      </c>
      <c r="C18" s="230">
        <f>'DOE25'!G190+'DOE25'!G208+'DOE25'!G226+'DOE25'!G269+'DOE25'!G288+'DOE25'!G307</f>
        <v>2114023.4499999997</v>
      </c>
    </row>
    <row r="19" spans="1:3" x14ac:dyDescent="0.2">
      <c r="A19" t="s">
        <v>810</v>
      </c>
      <c r="B19" s="241">
        <v>3901605.59</v>
      </c>
      <c r="C19" s="241">
        <f>B19/B18*C18</f>
        <v>1317172.5820394657</v>
      </c>
    </row>
    <row r="20" spans="1:3" x14ac:dyDescent="0.2">
      <c r="A20" t="s">
        <v>811</v>
      </c>
      <c r="B20" s="241">
        <v>2038630.07</v>
      </c>
      <c r="C20" s="241">
        <f>B20/B18*C18</f>
        <v>688236.56599415443</v>
      </c>
    </row>
    <row r="21" spans="1:3" x14ac:dyDescent="0.2">
      <c r="A21" t="s">
        <v>812</v>
      </c>
      <c r="B21" s="241">
        <f>47124.58+68952.15+56565.3+149085.11</f>
        <v>321727.14</v>
      </c>
      <c r="C21" s="241">
        <f>C18-C19-C20</f>
        <v>108614.30196637963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6261962.7999999998</v>
      </c>
      <c r="C22" s="232">
        <f>SUM(C19:C21)</f>
        <v>2114023.4499999997</v>
      </c>
    </row>
    <row r="23" spans="1:3" x14ac:dyDescent="0.2">
      <c r="B23" s="231"/>
      <c r="C23" s="231"/>
    </row>
    <row r="24" spans="1:3" x14ac:dyDescent="0.2">
      <c r="B24" s="275" t="s">
        <v>814</v>
      </c>
      <c r="C24" s="275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814</v>
      </c>
      <c r="C33" s="275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599975.06000000006</v>
      </c>
      <c r="C36" s="236">
        <f>'DOE25'!G192+'DOE25'!G210+'DOE25'!G228+'DOE25'!G271+'DOE25'!G290+'DOE25'!G309</f>
        <v>228915.93</v>
      </c>
    </row>
    <row r="37" spans="1:3" x14ac:dyDescent="0.2">
      <c r="A37" t="s">
        <v>810</v>
      </c>
      <c r="B37" s="241">
        <v>482925.68</v>
      </c>
      <c r="C37" s="241">
        <f>B37/B36*C36</f>
        <v>184256.62753062166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f>91826+25223.38</f>
        <v>117049.38</v>
      </c>
      <c r="C39" s="241">
        <f>C36-C37</f>
        <v>44659.302469378337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599975.06000000006</v>
      </c>
      <c r="C40" s="232">
        <f>SUM(C37:C39)</f>
        <v>228915.93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4975-FD50-4EA6-B824-DED880FF23A0}">
  <sheetPr>
    <tabColor indexed="11"/>
  </sheetPr>
  <dimension ref="A1:I51"/>
  <sheetViews>
    <sheetView topLeftCell="B1" workbookViewId="0">
      <pane ySplit="4" topLeftCell="A8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821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748</v>
      </c>
      <c r="B2" s="266" t="str">
        <f>'DOE25'!A2</f>
        <v>Timberlane Regional School District</v>
      </c>
      <c r="C2" s="181"/>
      <c r="D2" s="181" t="s">
        <v>823</v>
      </c>
      <c r="E2" s="181" t="s">
        <v>825</v>
      </c>
      <c r="F2" s="277" t="s">
        <v>852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36444334.329999998</v>
      </c>
      <c r="D5" s="20">
        <f>SUM('DOE25'!L189:L192)+SUM('DOE25'!L207:L210)+SUM('DOE25'!L225:L228)-F5-G5</f>
        <v>35761370.169999994</v>
      </c>
      <c r="E5" s="244"/>
      <c r="F5" s="256">
        <f>SUM('DOE25'!J189:J192)+SUM('DOE25'!J207:J210)+SUM('DOE25'!J225:J228)</f>
        <v>614712.13000000012</v>
      </c>
      <c r="G5" s="53">
        <f>SUM('DOE25'!K189:K192)+SUM('DOE25'!K207:K210)+SUM('DOE25'!K225:K228)</f>
        <v>68252.03</v>
      </c>
      <c r="H5" s="260"/>
    </row>
    <row r="6" spans="1:9" x14ac:dyDescent="0.2">
      <c r="A6" s="32">
        <v>2100</v>
      </c>
      <c r="B6" t="s">
        <v>832</v>
      </c>
      <c r="C6" s="246">
        <f t="shared" si="0"/>
        <v>4478959.7</v>
      </c>
      <c r="D6" s="20">
        <f>'DOE25'!L194+'DOE25'!L212+'DOE25'!L230-F6-G6</f>
        <v>4459682.63</v>
      </c>
      <c r="E6" s="244"/>
      <c r="F6" s="256">
        <f>'DOE25'!J194+'DOE25'!J212+'DOE25'!J230</f>
        <v>4160.67</v>
      </c>
      <c r="G6" s="53">
        <f>'DOE25'!K194+'DOE25'!K212+'DOE25'!K230</f>
        <v>15116.399999999998</v>
      </c>
      <c r="H6" s="260"/>
    </row>
    <row r="7" spans="1:9" x14ac:dyDescent="0.2">
      <c r="A7" s="32">
        <v>2200</v>
      </c>
      <c r="B7" t="s">
        <v>865</v>
      </c>
      <c r="C7" s="246">
        <f t="shared" si="0"/>
        <v>1114710.22</v>
      </c>
      <c r="D7" s="20">
        <f>'DOE25'!L195+'DOE25'!L213+'DOE25'!L231-F7-G7</f>
        <v>1100473.31</v>
      </c>
      <c r="E7" s="244"/>
      <c r="F7" s="256">
        <f>'DOE25'!J195+'DOE25'!J213+'DOE25'!J231</f>
        <v>14236.91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1594165.11</v>
      </c>
      <c r="D8" s="244"/>
      <c r="E8" s="20">
        <f>'DOE25'!L196+'DOE25'!L214+'DOE25'!L232-F8-G8-D9-D11</f>
        <v>1565584.4300000002</v>
      </c>
      <c r="F8" s="256">
        <f>'DOE25'!J196+'DOE25'!J214+'DOE25'!J232</f>
        <v>0</v>
      </c>
      <c r="G8" s="53">
        <f>'DOE25'!K196+'DOE25'!K214+'DOE25'!K232</f>
        <v>28580.68</v>
      </c>
      <c r="H8" s="260"/>
    </row>
    <row r="9" spans="1:9" x14ac:dyDescent="0.2">
      <c r="A9" s="32">
        <v>2310</v>
      </c>
      <c r="B9" t="s">
        <v>849</v>
      </c>
      <c r="C9" s="246">
        <f t="shared" si="0"/>
        <v>11664.5</v>
      </c>
      <c r="D9" s="245">
        <v>11664.5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24995</v>
      </c>
      <c r="D10" s="244"/>
      <c r="E10" s="245">
        <v>24995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298557.28999999998</v>
      </c>
      <c r="D11" s="245">
        <v>298557.28999999998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3400114.32</v>
      </c>
      <c r="D12" s="20">
        <f>'DOE25'!L197+'DOE25'!L215+'DOE25'!L233-F12-G12</f>
        <v>3268595.57</v>
      </c>
      <c r="E12" s="244"/>
      <c r="F12" s="256">
        <f>'DOE25'!J197+'DOE25'!J215+'DOE25'!J233</f>
        <v>113703.84</v>
      </c>
      <c r="G12" s="53">
        <f>'DOE25'!K197+'DOE25'!K215+'DOE25'!K233</f>
        <v>17814.91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59663.600000000006</v>
      </c>
      <c r="D13" s="244"/>
      <c r="E13" s="20">
        <f>'DOE25'!L198+'DOE25'!L216+'DOE25'!L234-F13-G13</f>
        <v>59663.600000000006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3867032.6900000004</v>
      </c>
      <c r="D14" s="20">
        <f>'DOE25'!L199+'DOE25'!L217+'DOE25'!L235-F14-G14</f>
        <v>3784812.9600000004</v>
      </c>
      <c r="E14" s="244"/>
      <c r="F14" s="256">
        <f>'DOE25'!J199+'DOE25'!J217+'DOE25'!J235</f>
        <v>82219.73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2589011.1500000004</v>
      </c>
      <c r="D15" s="20">
        <f>'DOE25'!L200+'DOE25'!L218+'DOE25'!L236-F15-G15</f>
        <v>2589011.1500000004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310444</v>
      </c>
      <c r="D16" s="244"/>
      <c r="E16" s="20">
        <f>'DOE25'!L201+'DOE25'!L219+'DOE25'!L237-F16-G16</f>
        <v>296678.3</v>
      </c>
      <c r="F16" s="256">
        <f>'DOE25'!J201+'DOE25'!J219+'DOE25'!J237</f>
        <v>13765.7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212135.11000000002</v>
      </c>
      <c r="D17" s="20">
        <f>'DOE25'!L243-F17-G17</f>
        <v>212135.11000000002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885902.21000000008</v>
      </c>
      <c r="D22" s="244"/>
      <c r="E22" s="244"/>
      <c r="F22" s="256">
        <f>'DOE25'!L247+'DOE25'!L328</f>
        <v>885902.21000000008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2398000</v>
      </c>
      <c r="D25" s="244"/>
      <c r="E25" s="244"/>
      <c r="F25" s="259"/>
      <c r="G25" s="257"/>
      <c r="H25" s="258">
        <f>'DOE25'!L252+'DOE25'!L253+'DOE25'!L333+'DOE25'!L334</f>
        <v>2398000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1504436.3599999999</v>
      </c>
      <c r="D29" s="20">
        <f>'DOE25'!L350+'DOE25'!L351+'DOE25'!L352-'DOE25'!I359-F29-G29</f>
        <v>1480402.8499999999</v>
      </c>
      <c r="E29" s="244"/>
      <c r="F29" s="256">
        <f>'DOE25'!J350+'DOE25'!J351+'DOE25'!J352</f>
        <v>567.24</v>
      </c>
      <c r="G29" s="53">
        <f>'DOE25'!K350+'DOE25'!K351+'DOE25'!K352</f>
        <v>23466.269999999997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1737993.44</v>
      </c>
      <c r="D31" s="20">
        <f>'DOE25'!L282+'DOE25'!L301+'DOE25'!L320+'DOE25'!L325+'DOE25'!L326+'DOE25'!L327-F31-G31</f>
        <v>1628552.17</v>
      </c>
      <c r="E31" s="244"/>
      <c r="F31" s="256">
        <f>'DOE25'!J282+'DOE25'!J301+'DOE25'!J320+'DOE25'!J325+'DOE25'!J326+'DOE25'!J327</f>
        <v>105168.06</v>
      </c>
      <c r="G31" s="53">
        <f>'DOE25'!K282+'DOE25'!K301+'DOE25'!K320+'DOE25'!K325+'DOE25'!K326+'DOE25'!K327</f>
        <v>4273.21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54595257.710000001</v>
      </c>
      <c r="E33" s="247">
        <f>SUM(E5:E31)</f>
        <v>1946921.3300000003</v>
      </c>
      <c r="F33" s="247">
        <f>SUM(F5:F31)</f>
        <v>1834436.4900000002</v>
      </c>
      <c r="G33" s="247">
        <f>SUM(G5:G31)</f>
        <v>157503.49999999997</v>
      </c>
      <c r="H33" s="247">
        <f>SUM(H5:H31)</f>
        <v>2398000</v>
      </c>
    </row>
    <row r="35" spans="2:8" ht="12" thickBot="1" x14ac:dyDescent="0.25">
      <c r="B35" s="254" t="s">
        <v>878</v>
      </c>
      <c r="D35" s="255">
        <f>E33</f>
        <v>1946921.3300000003</v>
      </c>
      <c r="E35" s="250"/>
    </row>
    <row r="36" spans="2:8" ht="12" thickTop="1" x14ac:dyDescent="0.2">
      <c r="B36" t="s">
        <v>846</v>
      </c>
      <c r="D36" s="20">
        <f>D33</f>
        <v>54595257.710000001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F4CD-2C6A-4A6F-89FC-77D8655A063F}">
  <sheetPr transitionEvaluation="1" codeName="Sheet2">
    <tabColor indexed="10"/>
  </sheetPr>
  <dimension ref="A1:I156"/>
  <sheetViews>
    <sheetView zoomScale="75" workbookViewId="0">
      <pane ySplit="2" topLeftCell="A15" activePane="bottomLeft" state="frozen"/>
      <selection pane="bottomLeft" activeCell="C133" sqref="C13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Timberlane Regional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1167854.1299999999</v>
      </c>
      <c r="D9" s="95">
        <f>'DOE25'!G9</f>
        <v>325821.65999999997</v>
      </c>
      <c r="E9" s="95">
        <f>'DOE25'!H9</f>
        <v>53727.199999999997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303951.28999999998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849399.6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842104.8899999999</v>
      </c>
      <c r="D13" s="95">
        <f>'DOE25'!G13</f>
        <v>28783.32</v>
      </c>
      <c r="E13" s="95">
        <f>'DOE25'!H13</f>
        <v>470682.57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50308.71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16360.64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31160.35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2890518.97</v>
      </c>
      <c r="D19" s="41">
        <f>SUM(D9:D18)</f>
        <v>421274.33</v>
      </c>
      <c r="E19" s="41">
        <f>SUM(E9:E18)</f>
        <v>524409.77</v>
      </c>
      <c r="F19" s="41">
        <f>SUM(F9:F18)</f>
        <v>0</v>
      </c>
      <c r="G19" s="41">
        <f>SUM(G9:G18)</f>
        <v>303951.28999999998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361967.1</v>
      </c>
      <c r="E22" s="95">
        <f>'DOE25'!H23</f>
        <v>487432.5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78106.22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57168.36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166485.01999999999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606</v>
      </c>
      <c r="D30" s="95">
        <f>'DOE25'!G31</f>
        <v>24589.39</v>
      </c>
      <c r="E30" s="95">
        <f>'DOE25'!H31</f>
        <v>1991.68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302365.59999999998</v>
      </c>
      <c r="D32" s="41">
        <f>SUM(D22:D31)</f>
        <v>386556.49</v>
      </c>
      <c r="E32" s="41">
        <f>SUM(E22:E31)</f>
        <v>489424.18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34717.839999999997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392530.74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34985.589999999997</v>
      </c>
      <c r="F40" s="95">
        <f>'DOE25'!I41</f>
        <v>0</v>
      </c>
      <c r="G40" s="95">
        <f>'DOE25'!J41</f>
        <v>303951.28999999998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1995622.63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2588153.37</v>
      </c>
      <c r="D42" s="41">
        <f>SUM(D34:D41)</f>
        <v>34717.839999999997</v>
      </c>
      <c r="E42" s="41">
        <f>SUM(E34:E41)</f>
        <v>34985.589999999997</v>
      </c>
      <c r="F42" s="41">
        <f>SUM(F34:F41)</f>
        <v>0</v>
      </c>
      <c r="G42" s="41">
        <f>SUM(G34:G41)</f>
        <v>303951.28999999998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2890518.97</v>
      </c>
      <c r="D43" s="41">
        <f>D42+D32</f>
        <v>421274.32999999996</v>
      </c>
      <c r="E43" s="41">
        <f>E42+E32</f>
        <v>524409.77</v>
      </c>
      <c r="F43" s="41">
        <f>F42+F32</f>
        <v>0</v>
      </c>
      <c r="G43" s="41">
        <f>G42+G32</f>
        <v>303951.28999999998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36145927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241381.13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6553</v>
      </c>
      <c r="D51" s="95">
        <f>'DOE25'!G88</f>
        <v>624.41999999999996</v>
      </c>
      <c r="E51" s="95">
        <f>'DOE25'!H88</f>
        <v>73.83</v>
      </c>
      <c r="F51" s="95">
        <f>'DOE25'!I88</f>
        <v>0</v>
      </c>
      <c r="G51" s="95">
        <f>'DOE25'!J88</f>
        <v>484.96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1149910.8900000001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217962.98</v>
      </c>
      <c r="D53" s="95">
        <f>SUM('DOE25'!G90:G102)</f>
        <v>0</v>
      </c>
      <c r="E53" s="95">
        <f>SUM('DOE25'!H90:H102)</f>
        <v>94980.5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465897.11</v>
      </c>
      <c r="D54" s="130">
        <f>SUM(D49:D53)</f>
        <v>1150535.31</v>
      </c>
      <c r="E54" s="130">
        <f>SUM(E49:E53)</f>
        <v>95054.33</v>
      </c>
      <c r="F54" s="130">
        <f>SUM(F49:F53)</f>
        <v>0</v>
      </c>
      <c r="G54" s="130">
        <f>SUM(G49:G53)</f>
        <v>484.96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36611824.109999999</v>
      </c>
      <c r="D55" s="22">
        <f>D48+D54</f>
        <v>1150535.31</v>
      </c>
      <c r="E55" s="22">
        <f>E48+E54</f>
        <v>95054.33</v>
      </c>
      <c r="F55" s="22">
        <f>F48+F54</f>
        <v>0</v>
      </c>
      <c r="G55" s="22">
        <f>G48+G54</f>
        <v>484.96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11213668.42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6513321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406716.58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2548.89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18136254.890000001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1103810.6599999999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376050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640904.55000000005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12085.09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48750</v>
      </c>
      <c r="D69" s="95">
        <f>SUM('DOE25'!G123:G127)</f>
        <v>18868.27</v>
      </c>
      <c r="E69" s="95">
        <f>SUM('DOE25'!H123:H127)</f>
        <v>1548.68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2181600.2999999998</v>
      </c>
      <c r="D70" s="130">
        <f>SUM(D64:D69)</f>
        <v>18868.27</v>
      </c>
      <c r="E70" s="130">
        <f>SUM(E64:E69)</f>
        <v>1548.68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20317855.190000001</v>
      </c>
      <c r="D73" s="130">
        <f>SUM(D71:D72)+D70+D62</f>
        <v>18868.27</v>
      </c>
      <c r="E73" s="130">
        <f>SUM(E71:E72)+E70+E62</f>
        <v>1548.68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610757.14</v>
      </c>
      <c r="D80" s="95">
        <f>SUM('DOE25'!G145:G153)</f>
        <v>403638.13</v>
      </c>
      <c r="E80" s="95">
        <f>SUM('DOE25'!H145:H153)</f>
        <v>1647403.99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610757.14</v>
      </c>
      <c r="D83" s="131">
        <f>SUM(D77:D82)</f>
        <v>403638.13</v>
      </c>
      <c r="E83" s="131">
        <f>SUM(E77:E82)</f>
        <v>1647403.99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225000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225000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796</v>
      </c>
      <c r="C96" s="86">
        <f>C55+C73+C83+C95</f>
        <v>57765436.439999998</v>
      </c>
      <c r="D96" s="86">
        <f>D55+D73+D83+D95</f>
        <v>1573041.71</v>
      </c>
      <c r="E96" s="86">
        <f>E55+E73+E83+E95</f>
        <v>1744007</v>
      </c>
      <c r="F96" s="86">
        <f>F55+F73+F83+F95</f>
        <v>0</v>
      </c>
      <c r="G96" s="86">
        <f>G55+G73+G95</f>
        <v>100484.96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25598845.23</v>
      </c>
      <c r="D101" s="24" t="s">
        <v>312</v>
      </c>
      <c r="E101" s="95">
        <f>('DOE25'!L268)+('DOE25'!L287)+('DOE25'!L306)</f>
        <v>292307.64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9729452.620000001</v>
      </c>
      <c r="D102" s="24" t="s">
        <v>312</v>
      </c>
      <c r="E102" s="95">
        <f>('DOE25'!L269)+('DOE25'!L288)+('DOE25'!L307)</f>
        <v>1199370.77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44759.44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1071277.04</v>
      </c>
      <c r="D104" s="24" t="s">
        <v>312</v>
      </c>
      <c r="E104" s="95">
        <f>+('DOE25'!L271)+('DOE25'!L290)+('DOE25'!L309)</f>
        <v>1284.1799999999998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212135.11000000002</v>
      </c>
      <c r="D106" s="24" t="s">
        <v>312</v>
      </c>
      <c r="E106" s="95">
        <f>+ SUM('DOE25'!L325:L327)</f>
        <v>66488.77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36656469.439999998</v>
      </c>
      <c r="D107" s="86">
        <f>SUM(D101:D106)</f>
        <v>0</v>
      </c>
      <c r="E107" s="86">
        <f>SUM(E101:E106)</f>
        <v>1559451.36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4478959.7</v>
      </c>
      <c r="D110" s="24" t="s">
        <v>312</v>
      </c>
      <c r="E110" s="95">
        <f>+('DOE25'!L273)+('DOE25'!L292)+('DOE25'!L311)</f>
        <v>21276.99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1114710.22</v>
      </c>
      <c r="D111" s="24" t="s">
        <v>312</v>
      </c>
      <c r="E111" s="95">
        <f>+('DOE25'!L274)+('DOE25'!L293)+('DOE25'!L312)</f>
        <v>157265.09000000003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1904386.9000000001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3400114.32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59663.600000000006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3867032.6900000004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2589011.1500000004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310444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1590613.98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17724322.579999998</v>
      </c>
      <c r="D120" s="86">
        <f>SUM(D110:D119)</f>
        <v>1590613.98</v>
      </c>
      <c r="E120" s="86">
        <f>SUM(E110:E119)</f>
        <v>178542.08000000002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885902.21000000008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1600000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798000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225000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100484.96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-484.9600000000064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3383902.21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225000</v>
      </c>
    </row>
    <row r="137" spans="1:9" ht="12.75" thickTop="1" thickBot="1" x14ac:dyDescent="0.25">
      <c r="A137" s="33" t="s">
        <v>267</v>
      </c>
      <c r="C137" s="86">
        <f>(C107+C120+C136)</f>
        <v>57764694.229999997</v>
      </c>
      <c r="D137" s="86">
        <f>(D107+D120+D136)</f>
        <v>1590613.98</v>
      </c>
      <c r="E137" s="86">
        <f>(E107+E120+E136)</f>
        <v>1737993.4400000002</v>
      </c>
      <c r="F137" s="86">
        <f>(F107+F120+F136)</f>
        <v>0</v>
      </c>
      <c r="G137" s="86">
        <f>(G107+G120+G136)</f>
        <v>225000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07/1999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08/2019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32000000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 xml:space="preserve">      4.25 to 5.25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16000000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16000000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1600000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1600000</v>
      </c>
    </row>
    <row r="151" spans="1:7" x14ac:dyDescent="0.2">
      <c r="A151" s="22" t="s">
        <v>35</v>
      </c>
      <c r="B151" s="137">
        <f>'DOE25'!F488</f>
        <v>14400000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14400000</v>
      </c>
    </row>
    <row r="152" spans="1:7" x14ac:dyDescent="0.2">
      <c r="A152" s="22" t="s">
        <v>36</v>
      </c>
      <c r="B152" s="137">
        <f>'DOE25'!F489</f>
        <v>3402000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3402000</v>
      </c>
    </row>
    <row r="153" spans="1:7" x14ac:dyDescent="0.2">
      <c r="A153" s="22" t="s">
        <v>37</v>
      </c>
      <c r="B153" s="137">
        <f>'DOE25'!F490</f>
        <v>17802000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17802000</v>
      </c>
    </row>
    <row r="154" spans="1:7" x14ac:dyDescent="0.2">
      <c r="A154" s="22" t="s">
        <v>38</v>
      </c>
      <c r="B154" s="137">
        <f>'DOE25'!F491</f>
        <v>1600000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1600000</v>
      </c>
    </row>
    <row r="155" spans="1:7" x14ac:dyDescent="0.2">
      <c r="A155" s="22" t="s">
        <v>39</v>
      </c>
      <c r="B155" s="137">
        <f>'DOE25'!F492</f>
        <v>714000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714000</v>
      </c>
    </row>
    <row r="156" spans="1:7" x14ac:dyDescent="0.2">
      <c r="A156" s="22" t="s">
        <v>269</v>
      </c>
      <c r="B156" s="137">
        <f>'DOE25'!F493</f>
        <v>2314000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2314000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BD43-DD44-4049-A53E-FCE068621553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771</v>
      </c>
      <c r="B1" s="281"/>
      <c r="C1" s="281"/>
      <c r="D1" s="281"/>
    </row>
    <row r="2" spans="1:4" x14ac:dyDescent="0.2">
      <c r="A2" s="187" t="s">
        <v>748</v>
      </c>
      <c r="B2" s="186" t="str">
        <f>'DOE25'!A2</f>
        <v>Timberlane Regional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12714</v>
      </c>
    </row>
    <row r="5" spans="1:4" x14ac:dyDescent="0.2">
      <c r="B5" t="s">
        <v>735</v>
      </c>
      <c r="C5" s="179">
        <f>IF('DOE25'!G655+'DOE25'!G660=0,0,ROUND('DOE25'!G662,0))</f>
        <v>12558</v>
      </c>
    </row>
    <row r="6" spans="1:4" x14ac:dyDescent="0.2">
      <c r="B6" t="s">
        <v>62</v>
      </c>
      <c r="C6" s="179">
        <f>IF('DOE25'!H655+'DOE25'!H660=0,0,ROUND('DOE25'!H662,0))</f>
        <v>11956</v>
      </c>
    </row>
    <row r="7" spans="1:4" x14ac:dyDescent="0.2">
      <c r="B7" t="s">
        <v>736</v>
      </c>
      <c r="C7" s="179">
        <f>IF('DOE25'!I655+'DOE25'!I660=0,0,ROUND('DOE25'!I662,0))</f>
        <v>12414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25891153</v>
      </c>
      <c r="D10" s="182">
        <f>ROUND((C10/$C$28)*100,1)</f>
        <v>45.1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10928823</v>
      </c>
      <c r="D11" s="182">
        <f>ROUND((C11/$C$28)*100,1)</f>
        <v>19.100000000000001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44759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1072561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4500237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1271975</v>
      </c>
      <c r="D16" s="182">
        <f t="shared" si="0"/>
        <v>2.2000000000000002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2214831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3400114</v>
      </c>
      <c r="D18" s="182">
        <f t="shared" si="0"/>
        <v>5.9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59664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3867033</v>
      </c>
      <c r="D20" s="182">
        <f t="shared" si="0"/>
        <v>6.7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2589011</v>
      </c>
      <c r="D21" s="182">
        <f t="shared" si="0"/>
        <v>4.5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278624</v>
      </c>
      <c r="D24" s="182">
        <f t="shared" si="0"/>
        <v>0.5</v>
      </c>
    </row>
    <row r="25" spans="1:4" x14ac:dyDescent="0.2">
      <c r="A25">
        <v>5120</v>
      </c>
      <c r="B25" t="s">
        <v>751</v>
      </c>
      <c r="C25" s="179">
        <f>ROUND('DOE25'!L253+'DOE25'!L334,0)</f>
        <v>798000</v>
      </c>
      <c r="D25" s="182">
        <f t="shared" si="0"/>
        <v>1.4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440703.10999999987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57357488.109999999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885902</v>
      </c>
    </row>
    <row r="30" spans="1:4" x14ac:dyDescent="0.2">
      <c r="B30" s="187" t="s">
        <v>760</v>
      </c>
      <c r="C30" s="180">
        <f>SUM(C28:C29)</f>
        <v>58243390.109999999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1600000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36145927</v>
      </c>
      <c r="D35" s="182">
        <f t="shared" ref="D35:D40" si="1">ROUND((C35/$C$41)*100,1)</f>
        <v>60.5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562060.8200000003</v>
      </c>
      <c r="D36" s="182">
        <f t="shared" si="1"/>
        <v>0.9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18133706</v>
      </c>
      <c r="D37" s="182">
        <f t="shared" si="1"/>
        <v>30.4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2204566</v>
      </c>
      <c r="D38" s="182">
        <f t="shared" si="1"/>
        <v>3.7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2661799</v>
      </c>
      <c r="D39" s="182">
        <f t="shared" si="1"/>
        <v>4.5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59708058.82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F311-512F-4D19-BA6F-726939392D2B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801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8" t="s">
        <v>798</v>
      </c>
      <c r="B2" s="289"/>
      <c r="C2" s="289"/>
      <c r="D2" s="289"/>
      <c r="E2" s="289"/>
      <c r="F2" s="294" t="str">
        <f>'DOE25'!A2</f>
        <v>Timberlane Regional School District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2" t="s">
        <v>802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>
        <v>2</v>
      </c>
      <c r="B4" s="220">
        <v>3</v>
      </c>
      <c r="C4" s="282" t="s">
        <v>898</v>
      </c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8"/>
      <c r="AO29" s="208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8"/>
      <c r="BB29" s="208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8"/>
      <c r="BO29" s="208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8"/>
      <c r="CB29" s="208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8"/>
      <c r="CO29" s="208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8"/>
      <c r="DB29" s="208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8"/>
      <c r="DO29" s="208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8"/>
      <c r="EB29" s="208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8"/>
      <c r="EO29" s="208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8"/>
      <c r="FB29" s="208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8"/>
      <c r="FO29" s="208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8"/>
      <c r="GB29" s="208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8"/>
      <c r="GO29" s="208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8"/>
      <c r="HB29" s="208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8"/>
      <c r="HO29" s="208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8"/>
      <c r="IB29" s="208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8"/>
      <c r="IO29" s="208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8"/>
      <c r="AO30" s="208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8"/>
      <c r="BB30" s="208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8"/>
      <c r="BO30" s="208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8"/>
      <c r="CB30" s="208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8"/>
      <c r="CO30" s="208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8"/>
      <c r="DB30" s="208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8"/>
      <c r="DO30" s="208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8"/>
      <c r="EB30" s="208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8"/>
      <c r="EO30" s="208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8"/>
      <c r="FB30" s="208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8"/>
      <c r="FO30" s="208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8"/>
      <c r="GB30" s="208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8"/>
      <c r="GO30" s="208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8"/>
      <c r="HB30" s="208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8"/>
      <c r="HO30" s="208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8"/>
      <c r="IB30" s="208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8"/>
      <c r="IO30" s="208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8"/>
      <c r="AO31" s="208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8"/>
      <c r="BB31" s="208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8"/>
      <c r="BO31" s="208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8"/>
      <c r="CB31" s="208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8"/>
      <c r="CO31" s="208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8"/>
      <c r="DB31" s="208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8"/>
      <c r="DO31" s="208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8"/>
      <c r="EB31" s="208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8"/>
      <c r="EO31" s="208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8"/>
      <c r="FB31" s="208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8"/>
      <c r="FO31" s="208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8"/>
      <c r="GB31" s="208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8"/>
      <c r="GO31" s="208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8"/>
      <c r="HB31" s="208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8"/>
      <c r="HO31" s="208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8"/>
      <c r="IB31" s="208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8"/>
      <c r="IO31" s="208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8"/>
      <c r="AO38" s="208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8"/>
      <c r="BB38" s="208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8"/>
      <c r="BO38" s="208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8"/>
      <c r="CB38" s="208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8"/>
      <c r="CO38" s="208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8"/>
      <c r="DB38" s="208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8"/>
      <c r="DO38" s="208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8"/>
      <c r="EB38" s="208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8"/>
      <c r="EO38" s="208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8"/>
      <c r="FB38" s="208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8"/>
      <c r="FO38" s="208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8"/>
      <c r="GB38" s="208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8"/>
      <c r="GO38" s="208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8"/>
      <c r="HB38" s="208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8"/>
      <c r="HO38" s="208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8"/>
      <c r="IB38" s="208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8"/>
      <c r="IO38" s="208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8"/>
      <c r="AO39" s="208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8"/>
      <c r="BB39" s="208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8"/>
      <c r="BO39" s="208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8"/>
      <c r="CB39" s="208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8"/>
      <c r="CO39" s="208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8"/>
      <c r="DB39" s="208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8"/>
      <c r="DO39" s="208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8"/>
      <c r="EB39" s="208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8"/>
      <c r="EO39" s="208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8"/>
      <c r="FB39" s="208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8"/>
      <c r="FO39" s="208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8"/>
      <c r="GB39" s="208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8"/>
      <c r="GO39" s="208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8"/>
      <c r="HB39" s="208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8"/>
      <c r="HO39" s="208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8"/>
      <c r="IB39" s="208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8"/>
      <c r="IO39" s="208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8"/>
      <c r="AO40" s="208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8"/>
      <c r="BB40" s="208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8"/>
      <c r="BO40" s="208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8"/>
      <c r="CB40" s="208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8"/>
      <c r="CO40" s="208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8"/>
      <c r="DB40" s="208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8"/>
      <c r="DO40" s="208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8"/>
      <c r="EB40" s="208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8"/>
      <c r="EO40" s="208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8"/>
      <c r="FB40" s="208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8"/>
      <c r="FO40" s="208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8"/>
      <c r="GB40" s="208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8"/>
      <c r="GO40" s="208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8"/>
      <c r="HB40" s="208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8"/>
      <c r="HO40" s="208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8"/>
      <c r="IB40" s="208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8"/>
      <c r="IO40" s="208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879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2"/>
      <c r="B74" s="212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2"/>
      <c r="B75" s="212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2"/>
      <c r="B76" s="212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2"/>
      <c r="B77" s="212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2"/>
      <c r="B78" s="212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2"/>
      <c r="B79" s="212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2"/>
      <c r="B80" s="212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2"/>
      <c r="B81" s="212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2"/>
      <c r="B82" s="212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2"/>
      <c r="B83" s="212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2"/>
      <c r="B84" s="212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2"/>
      <c r="B85" s="212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2"/>
      <c r="B86" s="212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2"/>
      <c r="B87" s="212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2"/>
      <c r="B88" s="212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2"/>
      <c r="B89" s="212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2"/>
      <c r="B90" s="212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2011-09-27T12:17:42Z</cp:lastPrinted>
  <dcterms:created xsi:type="dcterms:W3CDTF">1997-12-04T19:04:30Z</dcterms:created>
  <dcterms:modified xsi:type="dcterms:W3CDTF">2025-01-10T20:26:26Z</dcterms:modified>
</cp:coreProperties>
</file>