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3AE364C1-CD89-4682-99E5-2C76F7E52BB3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10709156-D8C1-4BCC-B27E-473D7297F94D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9" i="1" l="1"/>
  <c r="H431" i="1"/>
  <c r="H146" i="1"/>
  <c r="H154" i="1" s="1"/>
  <c r="H147" i="1"/>
  <c r="F42" i="1"/>
  <c r="H196" i="1"/>
  <c r="H199" i="1"/>
  <c r="L199" i="1" s="1"/>
  <c r="I199" i="1"/>
  <c r="H23" i="1"/>
  <c r="E22" i="2" s="1"/>
  <c r="E32" i="2" s="1"/>
  <c r="F13" i="1"/>
  <c r="F268" i="1"/>
  <c r="B9" i="12" s="1"/>
  <c r="F189" i="1"/>
  <c r="B19" i="12"/>
  <c r="B11" i="12"/>
  <c r="B10" i="12"/>
  <c r="D9" i="13"/>
  <c r="E10" i="13"/>
  <c r="D11" i="13"/>
  <c r="H572" i="1"/>
  <c r="I572" i="1" s="1"/>
  <c r="H368" i="1"/>
  <c r="L368" i="1" s="1"/>
  <c r="I168" i="1"/>
  <c r="I169" i="1" s="1"/>
  <c r="I184" i="1" s="1"/>
  <c r="H516" i="1"/>
  <c r="K513" i="1"/>
  <c r="J513" i="1"/>
  <c r="I513" i="1"/>
  <c r="G513" i="1"/>
  <c r="K512" i="1"/>
  <c r="J512" i="1"/>
  <c r="J514" i="1" s="1"/>
  <c r="I512" i="1"/>
  <c r="H512" i="1"/>
  <c r="L512" i="1" s="1"/>
  <c r="F540" i="1" s="1"/>
  <c r="G512" i="1"/>
  <c r="K511" i="1"/>
  <c r="K514" i="1" s="1"/>
  <c r="K535" i="1" s="1"/>
  <c r="J511" i="1"/>
  <c r="F513" i="1"/>
  <c r="F512" i="1"/>
  <c r="H533" i="1"/>
  <c r="L533" i="1" s="1"/>
  <c r="J541" i="1" s="1"/>
  <c r="H531" i="1"/>
  <c r="L531" i="1" s="1"/>
  <c r="F489" i="1"/>
  <c r="F488" i="1"/>
  <c r="H582" i="1"/>
  <c r="K582" i="1" s="1"/>
  <c r="H113" i="1"/>
  <c r="H132" i="1" s="1"/>
  <c r="K269" i="1"/>
  <c r="K268" i="1"/>
  <c r="K282" i="1" s="1"/>
  <c r="H274" i="1"/>
  <c r="H273" i="1"/>
  <c r="I269" i="1"/>
  <c r="G269" i="1"/>
  <c r="F269" i="1"/>
  <c r="H269" i="1"/>
  <c r="I268" i="1"/>
  <c r="H268" i="1"/>
  <c r="H282" i="1" s="1"/>
  <c r="G268" i="1"/>
  <c r="G282" i="1" s="1"/>
  <c r="G330" i="1" s="1"/>
  <c r="G344" i="1" s="1"/>
  <c r="I190" i="1"/>
  <c r="I511" i="1" s="1"/>
  <c r="I514" i="1" s="1"/>
  <c r="I535" i="1" s="1"/>
  <c r="F109" i="1"/>
  <c r="C37" i="10" s="1"/>
  <c r="F49" i="1"/>
  <c r="F52" i="1" s="1"/>
  <c r="K253" i="1"/>
  <c r="F154" i="1"/>
  <c r="K262" i="1"/>
  <c r="L262" i="1" s="1"/>
  <c r="I189" i="1"/>
  <c r="I203" i="1" s="1"/>
  <c r="I249" i="1" s="1"/>
  <c r="I263" i="1" s="1"/>
  <c r="H190" i="1"/>
  <c r="H511" i="1" s="1"/>
  <c r="H189" i="1"/>
  <c r="H203" i="1" s="1"/>
  <c r="H226" i="1"/>
  <c r="H239" i="1" s="1"/>
  <c r="H200" i="1"/>
  <c r="L200" i="1" s="1"/>
  <c r="G199" i="1"/>
  <c r="F199" i="1"/>
  <c r="K197" i="1"/>
  <c r="I197" i="1"/>
  <c r="H197" i="1"/>
  <c r="G197" i="1"/>
  <c r="F197" i="1"/>
  <c r="K196" i="1"/>
  <c r="K203" i="1" s="1"/>
  <c r="I196" i="1"/>
  <c r="F196" i="1"/>
  <c r="L196" i="1" s="1"/>
  <c r="I195" i="1"/>
  <c r="G195" i="1"/>
  <c r="F195" i="1"/>
  <c r="G194" i="1"/>
  <c r="F194" i="1"/>
  <c r="I194" i="1"/>
  <c r="I192" i="1"/>
  <c r="G192" i="1"/>
  <c r="F192" i="1"/>
  <c r="G190" i="1"/>
  <c r="G511" i="1" s="1"/>
  <c r="G514" i="1" s="1"/>
  <c r="G535" i="1" s="1"/>
  <c r="F190" i="1"/>
  <c r="G189" i="1"/>
  <c r="L189" i="1" s="1"/>
  <c r="I31" i="1"/>
  <c r="F30" i="2" s="1"/>
  <c r="F9" i="1"/>
  <c r="F128" i="1"/>
  <c r="C60" i="2"/>
  <c r="B2" i="13"/>
  <c r="F8" i="13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G5" i="13"/>
  <c r="L191" i="1"/>
  <c r="L192" i="1"/>
  <c r="L207" i="1"/>
  <c r="L208" i="1"/>
  <c r="L209" i="1"/>
  <c r="C12" i="10" s="1"/>
  <c r="L210" i="1"/>
  <c r="C13" i="10" s="1"/>
  <c r="L225" i="1"/>
  <c r="L239" i="1" s="1"/>
  <c r="L226" i="1"/>
  <c r="L227" i="1"/>
  <c r="L228" i="1"/>
  <c r="F6" i="13"/>
  <c r="G6" i="13"/>
  <c r="L194" i="1"/>
  <c r="L212" i="1"/>
  <c r="L230" i="1"/>
  <c r="D6" i="13"/>
  <c r="F7" i="13"/>
  <c r="G7" i="13"/>
  <c r="L195" i="1"/>
  <c r="D7" i="13" s="1"/>
  <c r="C7" i="13" s="1"/>
  <c r="L213" i="1"/>
  <c r="L231" i="1"/>
  <c r="F12" i="13"/>
  <c r="G12" i="13"/>
  <c r="L197" i="1"/>
  <c r="L215" i="1"/>
  <c r="L233" i="1"/>
  <c r="D12" i="13"/>
  <c r="C12" i="13" s="1"/>
  <c r="F14" i="13"/>
  <c r="G14" i="13"/>
  <c r="L217" i="1"/>
  <c r="L235" i="1"/>
  <c r="F15" i="13"/>
  <c r="G15" i="13"/>
  <c r="L218" i="1"/>
  <c r="L236" i="1"/>
  <c r="F17" i="13"/>
  <c r="G17" i="13"/>
  <c r="L243" i="1"/>
  <c r="C106" i="2" s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L354" i="1" s="1"/>
  <c r="L351" i="1"/>
  <c r="L352" i="1"/>
  <c r="H651" i="1" s="1"/>
  <c r="I359" i="1"/>
  <c r="J282" i="1"/>
  <c r="H594" i="1" s="1"/>
  <c r="J301" i="1"/>
  <c r="J320" i="1"/>
  <c r="K301" i="1"/>
  <c r="K320" i="1"/>
  <c r="L269" i="1"/>
  <c r="E102" i="2" s="1"/>
  <c r="L270" i="1"/>
  <c r="L271" i="1"/>
  <c r="L273" i="1"/>
  <c r="L274" i="1"/>
  <c r="L275" i="1"/>
  <c r="L276" i="1"/>
  <c r="L277" i="1"/>
  <c r="L278" i="1"/>
  <c r="L279" i="1"/>
  <c r="L280" i="1"/>
  <c r="E117" i="2" s="1"/>
  <c r="L287" i="1"/>
  <c r="L288" i="1"/>
  <c r="L289" i="1"/>
  <c r="L290" i="1"/>
  <c r="L292" i="1"/>
  <c r="L293" i="1"/>
  <c r="L294" i="1"/>
  <c r="L295" i="1"/>
  <c r="L296" i="1"/>
  <c r="L297" i="1"/>
  <c r="L298" i="1"/>
  <c r="G652" i="1" s="1"/>
  <c r="L299" i="1"/>
  <c r="L301" i="1"/>
  <c r="L306" i="1"/>
  <c r="L307" i="1"/>
  <c r="L320" i="1" s="1"/>
  <c r="L308" i="1"/>
  <c r="L309" i="1"/>
  <c r="L311" i="1"/>
  <c r="L312" i="1"/>
  <c r="L313" i="1"/>
  <c r="L314" i="1"/>
  <c r="L315" i="1"/>
  <c r="L316" i="1"/>
  <c r="E115" i="2" s="1"/>
  <c r="L317" i="1"/>
  <c r="H652" i="1" s="1"/>
  <c r="L318" i="1"/>
  <c r="L325" i="1"/>
  <c r="E106" i="2" s="1"/>
  <c r="L326" i="1"/>
  <c r="L327" i="1"/>
  <c r="L252" i="1"/>
  <c r="L253" i="1"/>
  <c r="C25" i="10" s="1"/>
  <c r="L333" i="1"/>
  <c r="E123" i="2" s="1"/>
  <c r="L334" i="1"/>
  <c r="E124" i="2" s="1"/>
  <c r="L247" i="1"/>
  <c r="L328" i="1"/>
  <c r="F22" i="13" s="1"/>
  <c r="C22" i="13" s="1"/>
  <c r="C11" i="13"/>
  <c r="C10" i="13"/>
  <c r="C9" i="13"/>
  <c r="C6" i="13"/>
  <c r="L353" i="1"/>
  <c r="B4" i="12"/>
  <c r="B36" i="12"/>
  <c r="C36" i="12"/>
  <c r="A40" i="12" s="1"/>
  <c r="B40" i="12"/>
  <c r="C40" i="12"/>
  <c r="B27" i="12"/>
  <c r="A31" i="12" s="1"/>
  <c r="C27" i="12"/>
  <c r="B31" i="12"/>
  <c r="C31" i="12"/>
  <c r="B13" i="12"/>
  <c r="C13" i="12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/>
  <c r="L258" i="1"/>
  <c r="J52" i="1"/>
  <c r="G48" i="2" s="1"/>
  <c r="G51" i="2"/>
  <c r="G54" i="2" s="1"/>
  <c r="G53" i="2"/>
  <c r="F2" i="11"/>
  <c r="L603" i="1"/>
  <c r="H653" i="1"/>
  <c r="L602" i="1"/>
  <c r="G653" i="1"/>
  <c r="L601" i="1"/>
  <c r="L604" i="1" s="1"/>
  <c r="C40" i="10"/>
  <c r="G52" i="1"/>
  <c r="H52" i="1"/>
  <c r="I52" i="1"/>
  <c r="F71" i="1"/>
  <c r="F86" i="1"/>
  <c r="F103" i="1"/>
  <c r="G103" i="1"/>
  <c r="G104" i="1"/>
  <c r="G185" i="1" s="1"/>
  <c r="G618" i="1" s="1"/>
  <c r="J618" i="1" s="1"/>
  <c r="H71" i="1"/>
  <c r="H104" i="1" s="1"/>
  <c r="H86" i="1"/>
  <c r="E50" i="2" s="1"/>
  <c r="H103" i="1"/>
  <c r="I103" i="1"/>
  <c r="I104" i="1"/>
  <c r="J103" i="1"/>
  <c r="G113" i="1"/>
  <c r="G128" i="1"/>
  <c r="G132" i="1"/>
  <c r="H128" i="1"/>
  <c r="I113" i="1"/>
  <c r="I132" i="1" s="1"/>
  <c r="I128" i="1"/>
  <c r="J113" i="1"/>
  <c r="J128" i="1"/>
  <c r="J132" i="1" s="1"/>
  <c r="F139" i="1"/>
  <c r="F161" i="1" s="1"/>
  <c r="G139" i="1"/>
  <c r="G154" i="1"/>
  <c r="G161" i="1"/>
  <c r="H139" i="1"/>
  <c r="E77" i="2" s="1"/>
  <c r="E83" i="2" s="1"/>
  <c r="I139" i="1"/>
  <c r="I161" i="1" s="1"/>
  <c r="I154" i="1"/>
  <c r="C15" i="10"/>
  <c r="C18" i="10"/>
  <c r="C19" i="10"/>
  <c r="L242" i="1"/>
  <c r="C105" i="2" s="1"/>
  <c r="L324" i="1"/>
  <c r="L246" i="1"/>
  <c r="L260" i="1"/>
  <c r="L261" i="1"/>
  <c r="L341" i="1"/>
  <c r="E134" i="2" s="1"/>
  <c r="L342" i="1"/>
  <c r="C26" i="10"/>
  <c r="I655" i="1"/>
  <c r="I660" i="1"/>
  <c r="I659" i="1"/>
  <c r="C6" i="10"/>
  <c r="C5" i="10"/>
  <c r="C42" i="10"/>
  <c r="L366" i="1"/>
  <c r="L367" i="1"/>
  <c r="L369" i="1"/>
  <c r="L370" i="1"/>
  <c r="L371" i="1"/>
  <c r="L372" i="1"/>
  <c r="B2" i="10"/>
  <c r="L336" i="1"/>
  <c r="L337" i="1"/>
  <c r="E127" i="2" s="1"/>
  <c r="L338" i="1"/>
  <c r="L339" i="1"/>
  <c r="K343" i="1"/>
  <c r="L516" i="1"/>
  <c r="G539" i="1" s="1"/>
  <c r="L517" i="1"/>
  <c r="G540" i="1" s="1"/>
  <c r="L518" i="1"/>
  <c r="G541" i="1"/>
  <c r="L521" i="1"/>
  <c r="L524" i="1" s="1"/>
  <c r="L522" i="1"/>
  <c r="H540" i="1"/>
  <c r="L523" i="1"/>
  <c r="H541" i="1"/>
  <c r="L526" i="1"/>
  <c r="I539" i="1" s="1"/>
  <c r="I542" i="1" s="1"/>
  <c r="L527" i="1"/>
  <c r="I540" i="1"/>
  <c r="L528" i="1"/>
  <c r="I541" i="1" s="1"/>
  <c r="L532" i="1"/>
  <c r="J540" i="1"/>
  <c r="J262" i="1"/>
  <c r="I262" i="1"/>
  <c r="H262" i="1"/>
  <c r="G262" i="1"/>
  <c r="F262" i="1"/>
  <c r="C123" i="2"/>
  <c r="A1" i="2"/>
  <c r="A2" i="2"/>
  <c r="C9" i="2"/>
  <c r="C19" i="2" s="1"/>
  <c r="D9" i="2"/>
  <c r="E9" i="2"/>
  <c r="F9" i="2"/>
  <c r="I431" i="1"/>
  <c r="J9" i="1"/>
  <c r="G9" i="2" s="1"/>
  <c r="C10" i="2"/>
  <c r="D10" i="2"/>
  <c r="E10" i="2"/>
  <c r="F10" i="2"/>
  <c r="I432" i="1"/>
  <c r="C11" i="2"/>
  <c r="C12" i="2"/>
  <c r="D12" i="2"/>
  <c r="E12" i="2"/>
  <c r="F12" i="2"/>
  <c r="I433" i="1"/>
  <c r="J12" i="1" s="1"/>
  <c r="G12" i="2" s="1"/>
  <c r="C13" i="2"/>
  <c r="D13" i="2"/>
  <c r="E13" i="2"/>
  <c r="F13" i="2"/>
  <c r="I434" i="1"/>
  <c r="J13" i="1"/>
  <c r="G13" i="2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 s="1"/>
  <c r="E19" i="2"/>
  <c r="F19" i="2"/>
  <c r="C22" i="2"/>
  <c r="D22" i="2"/>
  <c r="F22" i="2"/>
  <c r="I440" i="1"/>
  <c r="J23" i="1"/>
  <c r="G22" i="2" s="1"/>
  <c r="C23" i="2"/>
  <c r="D23" i="2"/>
  <c r="E23" i="2"/>
  <c r="F23" i="2"/>
  <c r="I441" i="1"/>
  <c r="C24" i="2"/>
  <c r="D24" i="2"/>
  <c r="E24" i="2"/>
  <c r="F24" i="2"/>
  <c r="I442" i="1"/>
  <c r="J25" i="1"/>
  <c r="G24" i="2" s="1"/>
  <c r="C25" i="2"/>
  <c r="C32" i="2" s="1"/>
  <c r="D25" i="2"/>
  <c r="D32" i="2" s="1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C31" i="2"/>
  <c r="D31" i="2"/>
  <c r="E31" i="2"/>
  <c r="F31" i="2"/>
  <c r="I443" i="1"/>
  <c r="J32" i="1"/>
  <c r="G31" i="2"/>
  <c r="C34" i="2"/>
  <c r="D34" i="2"/>
  <c r="E34" i="2"/>
  <c r="F34" i="2"/>
  <c r="C35" i="2"/>
  <c r="D35" i="2"/>
  <c r="E35" i="2"/>
  <c r="F35" i="2"/>
  <c r="C36" i="2"/>
  <c r="C42" i="2" s="1"/>
  <c r="D36" i="2"/>
  <c r="E36" i="2"/>
  <c r="F36" i="2"/>
  <c r="I446" i="1"/>
  <c r="J37" i="1"/>
  <c r="G36" i="2"/>
  <c r="C37" i="2"/>
  <c r="D37" i="2"/>
  <c r="E37" i="2"/>
  <c r="F37" i="2"/>
  <c r="F42" i="2" s="1"/>
  <c r="I447" i="1"/>
  <c r="J38" i="1"/>
  <c r="G37" i="2" s="1"/>
  <c r="C38" i="2"/>
  <c r="D38" i="2"/>
  <c r="E38" i="2"/>
  <c r="F38" i="2"/>
  <c r="I448" i="1"/>
  <c r="J40" i="1" s="1"/>
  <c r="G39" i="2" s="1"/>
  <c r="C40" i="2"/>
  <c r="D40" i="2"/>
  <c r="D42" i="2" s="1"/>
  <c r="E40" i="2"/>
  <c r="F40" i="2"/>
  <c r="I449" i="1"/>
  <c r="J41" i="1"/>
  <c r="G40" i="2" s="1"/>
  <c r="C41" i="2"/>
  <c r="D41" i="2"/>
  <c r="E41" i="2"/>
  <c r="F41" i="2"/>
  <c r="E42" i="2"/>
  <c r="D48" i="2"/>
  <c r="E48" i="2"/>
  <c r="F48" i="2"/>
  <c r="C49" i="2"/>
  <c r="C54" i="2" s="1"/>
  <c r="E49" i="2"/>
  <c r="E54" i="2" s="1"/>
  <c r="C50" i="2"/>
  <c r="C51" i="2"/>
  <c r="D51" i="2"/>
  <c r="E51" i="2"/>
  <c r="F51" i="2"/>
  <c r="F54" i="2" s="1"/>
  <c r="D52" i="2"/>
  <c r="C53" i="2"/>
  <c r="D53" i="2"/>
  <c r="E53" i="2"/>
  <c r="F53" i="2"/>
  <c r="D54" i="2"/>
  <c r="D55" i="2" s="1"/>
  <c r="C59" i="2"/>
  <c r="C61" i="2"/>
  <c r="D61" i="2"/>
  <c r="D62" i="2" s="1"/>
  <c r="E61" i="2"/>
  <c r="E62" i="2" s="1"/>
  <c r="E73" i="2" s="1"/>
  <c r="F61" i="2"/>
  <c r="F62" i="2" s="1"/>
  <c r="G61" i="2"/>
  <c r="G62" i="2"/>
  <c r="C64" i="2"/>
  <c r="F64" i="2"/>
  <c r="C65" i="2"/>
  <c r="F65" i="2"/>
  <c r="F70" i="2" s="1"/>
  <c r="C66" i="2"/>
  <c r="C67" i="2"/>
  <c r="C68" i="2"/>
  <c r="E68" i="2"/>
  <c r="F68" i="2"/>
  <c r="C69" i="2"/>
  <c r="D69" i="2"/>
  <c r="E69" i="2"/>
  <c r="F69" i="2"/>
  <c r="G69" i="2"/>
  <c r="G70" i="2" s="1"/>
  <c r="G73" i="2" s="1"/>
  <c r="C70" i="2"/>
  <c r="D70" i="2"/>
  <c r="D73" i="2" s="1"/>
  <c r="E70" i="2"/>
  <c r="C71" i="2"/>
  <c r="D71" i="2"/>
  <c r="E71" i="2"/>
  <c r="C72" i="2"/>
  <c r="E72" i="2"/>
  <c r="F73" i="2"/>
  <c r="C77" i="2"/>
  <c r="C83" i="2" s="1"/>
  <c r="D77" i="2"/>
  <c r="C79" i="2"/>
  <c r="E79" i="2"/>
  <c r="F79" i="2"/>
  <c r="C80" i="2"/>
  <c r="D80" i="2"/>
  <c r="D83" i="2" s="1"/>
  <c r="E80" i="2"/>
  <c r="F80" i="2"/>
  <c r="C81" i="2"/>
  <c r="D81" i="2"/>
  <c r="E81" i="2"/>
  <c r="F81" i="2"/>
  <c r="C82" i="2"/>
  <c r="C85" i="2"/>
  <c r="C95" i="2" s="1"/>
  <c r="F85" i="2"/>
  <c r="F95" i="2" s="1"/>
  <c r="C86" i="2"/>
  <c r="F86" i="2"/>
  <c r="D88" i="2"/>
  <c r="D95" i="2" s="1"/>
  <c r="E88" i="2"/>
  <c r="F88" i="2"/>
  <c r="G88" i="2"/>
  <c r="C89" i="2"/>
  <c r="D89" i="2"/>
  <c r="E89" i="2"/>
  <c r="E95" i="2" s="1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G95" i="2"/>
  <c r="E103" i="2"/>
  <c r="C104" i="2"/>
  <c r="E104" i="2"/>
  <c r="E105" i="2"/>
  <c r="D107" i="2"/>
  <c r="F107" i="2"/>
  <c r="G107" i="2"/>
  <c r="C110" i="2"/>
  <c r="E110" i="2"/>
  <c r="C111" i="2"/>
  <c r="E111" i="2"/>
  <c r="E112" i="2"/>
  <c r="C113" i="2"/>
  <c r="E113" i="2"/>
  <c r="C114" i="2"/>
  <c r="E114" i="2"/>
  <c r="E116" i="2"/>
  <c r="C117" i="2"/>
  <c r="F120" i="2"/>
  <c r="G120" i="2"/>
  <c r="C122" i="2"/>
  <c r="E122" i="2"/>
  <c r="D126" i="2"/>
  <c r="D136" i="2" s="1"/>
  <c r="E126" i="2"/>
  <c r="F126" i="2"/>
  <c r="K411" i="1"/>
  <c r="K426" i="1" s="1"/>
  <c r="G126" i="2" s="1"/>
  <c r="G136" i="2" s="1"/>
  <c r="K419" i="1"/>
  <c r="K425" i="1"/>
  <c r="L255" i="1"/>
  <c r="C127" i="2"/>
  <c r="L256" i="1"/>
  <c r="C128" i="2"/>
  <c r="L257" i="1"/>
  <c r="C129" i="2" s="1"/>
  <c r="E129" i="2"/>
  <c r="C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G149" i="2" s="1"/>
  <c r="C149" i="2"/>
  <c r="D149" i="2"/>
  <c r="E149" i="2"/>
  <c r="F149" i="2"/>
  <c r="B150" i="2"/>
  <c r="C150" i="2"/>
  <c r="D150" i="2"/>
  <c r="E150" i="2"/>
  <c r="F150" i="2"/>
  <c r="G150" i="2"/>
  <c r="B151" i="2"/>
  <c r="G151" i="2" s="1"/>
  <c r="C151" i="2"/>
  <c r="D151" i="2"/>
  <c r="E151" i="2"/>
  <c r="F151" i="2"/>
  <c r="C152" i="2"/>
  <c r="D152" i="2"/>
  <c r="E152" i="2"/>
  <c r="F152" i="2"/>
  <c r="F490" i="1"/>
  <c r="G490" i="1"/>
  <c r="C153" i="2" s="1"/>
  <c r="H490" i="1"/>
  <c r="D153" i="2" s="1"/>
  <c r="I490" i="1"/>
  <c r="E153" i="2"/>
  <c r="J490" i="1"/>
  <c r="F153" i="2" s="1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F493" i="1"/>
  <c r="K493" i="1" s="1"/>
  <c r="B156" i="2"/>
  <c r="G156" i="2" s="1"/>
  <c r="G493" i="1"/>
  <c r="C156" i="2"/>
  <c r="H493" i="1"/>
  <c r="D156" i="2"/>
  <c r="I493" i="1"/>
  <c r="E156" i="2"/>
  <c r="J493" i="1"/>
  <c r="F156" i="2"/>
  <c r="F19" i="1"/>
  <c r="G607" i="1" s="1"/>
  <c r="G19" i="1"/>
  <c r="H19" i="1"/>
  <c r="G609" i="1" s="1"/>
  <c r="I19" i="1"/>
  <c r="G610" i="1" s="1"/>
  <c r="F33" i="1"/>
  <c r="G33" i="1"/>
  <c r="F43" i="1"/>
  <c r="G43" i="1"/>
  <c r="H43" i="1"/>
  <c r="I43" i="1"/>
  <c r="F44" i="1"/>
  <c r="H607" i="1" s="1"/>
  <c r="G44" i="1"/>
  <c r="F169" i="1"/>
  <c r="F184" i="1" s="1"/>
  <c r="F175" i="1"/>
  <c r="G175" i="1"/>
  <c r="H175" i="1"/>
  <c r="H184" i="1" s="1"/>
  <c r="I175" i="1"/>
  <c r="J175" i="1"/>
  <c r="F180" i="1"/>
  <c r="G180" i="1"/>
  <c r="G184" i="1" s="1"/>
  <c r="H180" i="1"/>
  <c r="I180" i="1"/>
  <c r="J203" i="1"/>
  <c r="F221" i="1"/>
  <c r="G221" i="1"/>
  <c r="H221" i="1"/>
  <c r="I221" i="1"/>
  <c r="J221" i="1"/>
  <c r="J249" i="1" s="1"/>
  <c r="H638" i="1" s="1"/>
  <c r="K221" i="1"/>
  <c r="F239" i="1"/>
  <c r="G239" i="1"/>
  <c r="I239" i="1"/>
  <c r="J239" i="1"/>
  <c r="K239" i="1"/>
  <c r="F248" i="1"/>
  <c r="G248" i="1"/>
  <c r="H248" i="1"/>
  <c r="I248" i="1"/>
  <c r="L248" i="1" s="1"/>
  <c r="J248" i="1"/>
  <c r="K248" i="1"/>
  <c r="F282" i="1"/>
  <c r="F330" i="1" s="1"/>
  <c r="F344" i="1" s="1"/>
  <c r="I282" i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I330" i="1"/>
  <c r="I344" i="1" s="1"/>
  <c r="J330" i="1"/>
  <c r="J344" i="1" s="1"/>
  <c r="F354" i="1"/>
  <c r="G354" i="1"/>
  <c r="H354" i="1"/>
  <c r="I354" i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G400" i="1" s="1"/>
  <c r="H635" i="1" s="1"/>
  <c r="H393" i="1"/>
  <c r="H400" i="1" s="1"/>
  <c r="H634" i="1" s="1"/>
  <c r="J634" i="1" s="1"/>
  <c r="I393" i="1"/>
  <c r="I400" i="1" s="1"/>
  <c r="F399" i="1"/>
  <c r="G399" i="1"/>
  <c r="H399" i="1"/>
  <c r="I399" i="1"/>
  <c r="L405" i="1"/>
  <c r="L411" i="1" s="1"/>
  <c r="L406" i="1"/>
  <c r="L407" i="1"/>
  <c r="L408" i="1"/>
  <c r="L409" i="1"/>
  <c r="L410" i="1"/>
  <c r="F411" i="1"/>
  <c r="G411" i="1"/>
  <c r="H411" i="1"/>
  <c r="I411" i="1"/>
  <c r="J411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F426" i="1"/>
  <c r="G426" i="1"/>
  <c r="H426" i="1"/>
  <c r="I426" i="1"/>
  <c r="J426" i="1"/>
  <c r="F438" i="1"/>
  <c r="G438" i="1"/>
  <c r="G630" i="1" s="1"/>
  <c r="H438" i="1"/>
  <c r="F444" i="1"/>
  <c r="F451" i="1" s="1"/>
  <c r="H629" i="1" s="1"/>
  <c r="G444" i="1"/>
  <c r="H444" i="1"/>
  <c r="H451" i="1" s="1"/>
  <c r="H631" i="1" s="1"/>
  <c r="J631" i="1" s="1"/>
  <c r="F450" i="1"/>
  <c r="G450" i="1"/>
  <c r="H450" i="1"/>
  <c r="I450" i="1"/>
  <c r="G460" i="1"/>
  <c r="G466" i="1" s="1"/>
  <c r="H613" i="1" s="1"/>
  <c r="G464" i="1"/>
  <c r="J464" i="1"/>
  <c r="K485" i="1"/>
  <c r="K486" i="1"/>
  <c r="K487" i="1"/>
  <c r="K488" i="1"/>
  <c r="K491" i="1"/>
  <c r="K492" i="1"/>
  <c r="F507" i="1"/>
  <c r="G507" i="1"/>
  <c r="H507" i="1"/>
  <c r="I507" i="1"/>
  <c r="F519" i="1"/>
  <c r="G519" i="1"/>
  <c r="H519" i="1"/>
  <c r="I519" i="1"/>
  <c r="J519" i="1"/>
  <c r="K519" i="1"/>
  <c r="L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I534" i="1"/>
  <c r="J534" i="1"/>
  <c r="K534" i="1"/>
  <c r="L547" i="1"/>
  <c r="L548" i="1"/>
  <c r="L549" i="1"/>
  <c r="F550" i="1"/>
  <c r="G550" i="1"/>
  <c r="H550" i="1"/>
  <c r="H561" i="1" s="1"/>
  <c r="I550" i="1"/>
  <c r="I561" i="1" s="1"/>
  <c r="J550" i="1"/>
  <c r="J561" i="1" s="1"/>
  <c r="K550" i="1"/>
  <c r="K561" i="1" s="1"/>
  <c r="L550" i="1"/>
  <c r="L552" i="1"/>
  <c r="L553" i="1"/>
  <c r="L554" i="1"/>
  <c r="F555" i="1"/>
  <c r="G555" i="1"/>
  <c r="H555" i="1"/>
  <c r="I555" i="1"/>
  <c r="J555" i="1"/>
  <c r="K555" i="1"/>
  <c r="L555" i="1"/>
  <c r="L557" i="1"/>
  <c r="L558" i="1"/>
  <c r="L560" i="1" s="1"/>
  <c r="L559" i="1"/>
  <c r="F560" i="1"/>
  <c r="G560" i="1"/>
  <c r="H560" i="1"/>
  <c r="I560" i="1"/>
  <c r="J560" i="1"/>
  <c r="K560" i="1"/>
  <c r="F561" i="1"/>
  <c r="G561" i="1"/>
  <c r="I565" i="1"/>
  <c r="I566" i="1"/>
  <c r="I567" i="1"/>
  <c r="I568" i="1"/>
  <c r="I569" i="1"/>
  <c r="I570" i="1"/>
  <c r="I571" i="1"/>
  <c r="I573" i="1"/>
  <c r="I574" i="1"/>
  <c r="I575" i="1"/>
  <c r="I576" i="1"/>
  <c r="I577" i="1"/>
  <c r="K581" i="1"/>
  <c r="K588" i="1" s="1"/>
  <c r="G637" i="1" s="1"/>
  <c r="K583" i="1"/>
  <c r="K584" i="1"/>
  <c r="K585" i="1"/>
  <c r="K586" i="1"/>
  <c r="K587" i="1"/>
  <c r="H588" i="1"/>
  <c r="H639" i="1" s="1"/>
  <c r="I588" i="1"/>
  <c r="J588" i="1"/>
  <c r="H641" i="1" s="1"/>
  <c r="K592" i="1"/>
  <c r="K593" i="1"/>
  <c r="I595" i="1"/>
  <c r="J595" i="1"/>
  <c r="F604" i="1"/>
  <c r="G604" i="1"/>
  <c r="H604" i="1"/>
  <c r="I604" i="1"/>
  <c r="J604" i="1"/>
  <c r="K604" i="1"/>
  <c r="G608" i="1"/>
  <c r="H608" i="1"/>
  <c r="G612" i="1"/>
  <c r="G613" i="1"/>
  <c r="H618" i="1"/>
  <c r="G624" i="1"/>
  <c r="H624" i="1"/>
  <c r="H625" i="1"/>
  <c r="H628" i="1"/>
  <c r="G629" i="1"/>
  <c r="J629" i="1" s="1"/>
  <c r="G631" i="1"/>
  <c r="G633" i="1"/>
  <c r="J633" i="1" s="1"/>
  <c r="G634" i="1"/>
  <c r="G640" i="1"/>
  <c r="H640" i="1"/>
  <c r="G641" i="1"/>
  <c r="J641" i="1" s="1"/>
  <c r="G642" i="1"/>
  <c r="H642" i="1"/>
  <c r="J642" i="1"/>
  <c r="G643" i="1"/>
  <c r="H643" i="1"/>
  <c r="J643" i="1"/>
  <c r="G644" i="1"/>
  <c r="J644" i="1" s="1"/>
  <c r="H644" i="1"/>
  <c r="G645" i="1"/>
  <c r="J645" i="1" s="1"/>
  <c r="H645" i="1"/>
  <c r="I438" i="1" l="1"/>
  <c r="G632" i="1" s="1"/>
  <c r="J10" i="1"/>
  <c r="L400" i="1"/>
  <c r="C130" i="2"/>
  <c r="E136" i="2"/>
  <c r="K249" i="1"/>
  <c r="K263" i="1" s="1"/>
  <c r="J613" i="1"/>
  <c r="E43" i="2"/>
  <c r="I185" i="1"/>
  <c r="F104" i="1"/>
  <c r="C35" i="10"/>
  <c r="C48" i="2"/>
  <c r="C55" i="2" s="1"/>
  <c r="G31" i="13"/>
  <c r="K330" i="1"/>
  <c r="K344" i="1" s="1"/>
  <c r="L374" i="1"/>
  <c r="C29" i="10"/>
  <c r="F122" i="2"/>
  <c r="F136" i="2" s="1"/>
  <c r="F137" i="2" s="1"/>
  <c r="J608" i="1"/>
  <c r="J607" i="1"/>
  <c r="E120" i="2"/>
  <c r="G42" i="2"/>
  <c r="C43" i="2"/>
  <c r="G55" i="2"/>
  <c r="G96" i="2" s="1"/>
  <c r="D14" i="13"/>
  <c r="C14" i="13" s="1"/>
  <c r="C20" i="10"/>
  <c r="C115" i="2"/>
  <c r="C120" i="2" s="1"/>
  <c r="G451" i="1"/>
  <c r="H630" i="1" s="1"/>
  <c r="G137" i="2"/>
  <c r="C133" i="2"/>
  <c r="H650" i="1"/>
  <c r="H654" i="1" s="1"/>
  <c r="K540" i="1"/>
  <c r="C27" i="10"/>
  <c r="G625" i="1"/>
  <c r="J625" i="1" s="1"/>
  <c r="J43" i="1"/>
  <c r="F43" i="2"/>
  <c r="K490" i="1"/>
  <c r="B153" i="2"/>
  <c r="G153" i="2" s="1"/>
  <c r="F33" i="13"/>
  <c r="H637" i="1"/>
  <c r="J637" i="1" s="1"/>
  <c r="F652" i="1"/>
  <c r="I652" i="1" s="1"/>
  <c r="C116" i="2"/>
  <c r="G639" i="1"/>
  <c r="J639" i="1" s="1"/>
  <c r="C21" i="10"/>
  <c r="D15" i="13"/>
  <c r="C15" i="13" s="1"/>
  <c r="H330" i="1"/>
  <c r="H344" i="1" s="1"/>
  <c r="J535" i="1"/>
  <c r="J624" i="1"/>
  <c r="J630" i="1"/>
  <c r="D96" i="2"/>
  <c r="D19" i="2"/>
  <c r="G542" i="1"/>
  <c r="F55" i="2"/>
  <c r="D43" i="2"/>
  <c r="I444" i="1"/>
  <c r="I451" i="1" s="1"/>
  <c r="H632" i="1" s="1"/>
  <c r="J24" i="1"/>
  <c r="K594" i="1"/>
  <c r="K595" i="1" s="1"/>
  <c r="G638" i="1" s="1"/>
  <c r="J638" i="1" s="1"/>
  <c r="H595" i="1"/>
  <c r="F653" i="1"/>
  <c r="I653" i="1" s="1"/>
  <c r="D5" i="13"/>
  <c r="C101" i="2"/>
  <c r="L203" i="1"/>
  <c r="C17" i="10"/>
  <c r="C112" i="2"/>
  <c r="H249" i="1"/>
  <c r="H263" i="1" s="1"/>
  <c r="B152" i="2"/>
  <c r="G152" i="2" s="1"/>
  <c r="K489" i="1"/>
  <c r="J640" i="1"/>
  <c r="L561" i="1"/>
  <c r="L419" i="1"/>
  <c r="L426" i="1" s="1"/>
  <c r="G628" i="1" s="1"/>
  <c r="J628" i="1" s="1"/>
  <c r="J263" i="1"/>
  <c r="G635" i="1"/>
  <c r="J635" i="1" s="1"/>
  <c r="J184" i="1"/>
  <c r="E55" i="2"/>
  <c r="E96" i="2" s="1"/>
  <c r="F32" i="2"/>
  <c r="H185" i="1"/>
  <c r="L190" i="1"/>
  <c r="J539" i="1"/>
  <c r="J542" i="1" s="1"/>
  <c r="L534" i="1"/>
  <c r="H539" i="1"/>
  <c r="H542" i="1" s="1"/>
  <c r="C32" i="10"/>
  <c r="G651" i="1"/>
  <c r="C23" i="10"/>
  <c r="L529" i="1"/>
  <c r="G203" i="1"/>
  <c r="G249" i="1" s="1"/>
  <c r="G263" i="1" s="1"/>
  <c r="D119" i="2"/>
  <c r="D120" i="2" s="1"/>
  <c r="D137" i="2" s="1"/>
  <c r="F203" i="1"/>
  <c r="F249" i="1" s="1"/>
  <c r="F263" i="1" s="1"/>
  <c r="F651" i="1"/>
  <c r="H25" i="13"/>
  <c r="D17" i="13"/>
  <c r="C17" i="13" s="1"/>
  <c r="C103" i="2"/>
  <c r="C58" i="2"/>
  <c r="C62" i="2" s="1"/>
  <c r="C73" i="2" s="1"/>
  <c r="C124" i="2"/>
  <c r="C136" i="2" s="1"/>
  <c r="G8" i="13"/>
  <c r="G33" i="13" s="1"/>
  <c r="F511" i="1"/>
  <c r="G615" i="1"/>
  <c r="L221" i="1"/>
  <c r="G650" i="1" s="1"/>
  <c r="J104" i="1"/>
  <c r="J185" i="1" s="1"/>
  <c r="B18" i="12"/>
  <c r="A22" i="12" s="1"/>
  <c r="F31" i="13"/>
  <c r="H513" i="1"/>
  <c r="L513" i="1" s="1"/>
  <c r="F541" i="1" s="1"/>
  <c r="K541" i="1" s="1"/>
  <c r="H161" i="1"/>
  <c r="C39" i="10" s="1"/>
  <c r="I33" i="1"/>
  <c r="I44" i="1" s="1"/>
  <c r="H610" i="1" s="1"/>
  <c r="J610" i="1" s="1"/>
  <c r="C16" i="10"/>
  <c r="F113" i="1"/>
  <c r="F132" i="1" s="1"/>
  <c r="C38" i="10" s="1"/>
  <c r="G614" i="1"/>
  <c r="H534" i="1"/>
  <c r="H33" i="1"/>
  <c r="H44" i="1" s="1"/>
  <c r="H609" i="1" s="1"/>
  <c r="J609" i="1" s="1"/>
  <c r="F77" i="2"/>
  <c r="F83" i="2" s="1"/>
  <c r="L343" i="1"/>
  <c r="C9" i="12"/>
  <c r="A13" i="12" s="1"/>
  <c r="C24" i="10"/>
  <c r="D29" i="13"/>
  <c r="C29" i="13" s="1"/>
  <c r="L268" i="1"/>
  <c r="C10" i="10" s="1"/>
  <c r="L511" i="1" l="1"/>
  <c r="F514" i="1"/>
  <c r="F535" i="1" s="1"/>
  <c r="J44" i="1"/>
  <c r="H611" i="1" s="1"/>
  <c r="G616" i="1"/>
  <c r="G620" i="1"/>
  <c r="I458" i="1"/>
  <c r="L249" i="1"/>
  <c r="L263" i="1" s="1"/>
  <c r="G626" i="1"/>
  <c r="I462" i="1"/>
  <c r="L282" i="1"/>
  <c r="E101" i="2"/>
  <c r="E107" i="2" s="1"/>
  <c r="E137" i="2" s="1"/>
  <c r="C5" i="13"/>
  <c r="C25" i="13"/>
  <c r="H33" i="13"/>
  <c r="H514" i="1"/>
  <c r="H535" i="1" s="1"/>
  <c r="H662" i="1"/>
  <c r="H657" i="1"/>
  <c r="C96" i="2"/>
  <c r="I651" i="1"/>
  <c r="C102" i="2"/>
  <c r="C107" i="2" s="1"/>
  <c r="C137" i="2" s="1"/>
  <c r="C11" i="10"/>
  <c r="J33" i="1"/>
  <c r="G23" i="2"/>
  <c r="G32" i="2" s="1"/>
  <c r="G43" i="2" s="1"/>
  <c r="C36" i="10"/>
  <c r="G619" i="1"/>
  <c r="H458" i="1"/>
  <c r="F185" i="1"/>
  <c r="G627" i="1"/>
  <c r="H636" i="1"/>
  <c r="J458" i="1"/>
  <c r="G636" i="1"/>
  <c r="G621" i="1"/>
  <c r="J19" i="1"/>
  <c r="G611" i="1" s="1"/>
  <c r="G10" i="2"/>
  <c r="G19" i="2" s="1"/>
  <c r="G654" i="1"/>
  <c r="E8" i="13"/>
  <c r="F96" i="2"/>
  <c r="J632" i="1"/>
  <c r="J636" i="1" l="1"/>
  <c r="I460" i="1"/>
  <c r="H620" i="1"/>
  <c r="H621" i="1"/>
  <c r="J460" i="1"/>
  <c r="J466" i="1" s="1"/>
  <c r="H616" i="1" s="1"/>
  <c r="J616" i="1" s="1"/>
  <c r="H627" i="1"/>
  <c r="J627" i="1" s="1"/>
  <c r="J620" i="1"/>
  <c r="F458" i="1"/>
  <c r="G617" i="1"/>
  <c r="H460" i="1"/>
  <c r="H619" i="1"/>
  <c r="C8" i="13"/>
  <c r="E33" i="13"/>
  <c r="D35" i="13" s="1"/>
  <c r="J619" i="1"/>
  <c r="L330" i="1"/>
  <c r="L344" i="1" s="1"/>
  <c r="G623" i="1" s="1"/>
  <c r="D31" i="13"/>
  <c r="H462" i="1"/>
  <c r="L514" i="1"/>
  <c r="L535" i="1" s="1"/>
  <c r="F539" i="1"/>
  <c r="G662" i="1"/>
  <c r="G657" i="1"/>
  <c r="I464" i="1"/>
  <c r="H626" i="1"/>
  <c r="J626" i="1" s="1"/>
  <c r="J611" i="1"/>
  <c r="C41" i="10"/>
  <c r="F650" i="1"/>
  <c r="C28" i="10"/>
  <c r="J621" i="1"/>
  <c r="G622" i="1"/>
  <c r="F462" i="1"/>
  <c r="H622" i="1" l="1"/>
  <c r="F464" i="1"/>
  <c r="J622" i="1"/>
  <c r="F542" i="1"/>
  <c r="K539" i="1"/>
  <c r="K542" i="1" s="1"/>
  <c r="D22" i="10"/>
  <c r="D15" i="10"/>
  <c r="D19" i="10"/>
  <c r="C30" i="10"/>
  <c r="D26" i="10"/>
  <c r="D13" i="10"/>
  <c r="D12" i="10"/>
  <c r="D18" i="10"/>
  <c r="D25" i="10"/>
  <c r="D10" i="10"/>
  <c r="D20" i="10"/>
  <c r="D17" i="10"/>
  <c r="D27" i="10"/>
  <c r="D24" i="10"/>
  <c r="D23" i="10"/>
  <c r="D21" i="10"/>
  <c r="D16" i="10"/>
  <c r="H623" i="1"/>
  <c r="H464" i="1"/>
  <c r="H466" i="1"/>
  <c r="H614" i="1" s="1"/>
  <c r="J614" i="1" s="1"/>
  <c r="H617" i="1"/>
  <c r="J617" i="1" s="1"/>
  <c r="F460" i="1"/>
  <c r="F466" i="1" s="1"/>
  <c r="H612" i="1" s="1"/>
  <c r="J612" i="1" s="1"/>
  <c r="F654" i="1"/>
  <c r="I650" i="1"/>
  <c r="I654" i="1" s="1"/>
  <c r="C31" i="13"/>
  <c r="D33" i="13"/>
  <c r="D36" i="13" s="1"/>
  <c r="D40" i="10"/>
  <c r="D37" i="10"/>
  <c r="D39" i="10"/>
  <c r="D35" i="10"/>
  <c r="D38" i="10"/>
  <c r="D11" i="10"/>
  <c r="I466" i="1"/>
  <c r="H615" i="1" s="1"/>
  <c r="J615" i="1" s="1"/>
  <c r="J623" i="1"/>
  <c r="D36" i="10"/>
  <c r="I657" i="1" l="1"/>
  <c r="I662" i="1"/>
  <c r="C7" i="10" s="1"/>
  <c r="F662" i="1"/>
  <c r="C4" i="10" s="1"/>
  <c r="F657" i="1"/>
  <c r="D28" i="10"/>
  <c r="D41" i="10"/>
  <c r="H6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6EFF5EDE-D2CA-496C-9E07-7CDF4034AA50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DF632375-8C16-4E99-881E-8C8BEEDE05F3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28ED3C7C-3A16-4F25-A6D7-CF6E5F8FC89B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BCBEF95A-DF67-4106-8B65-60C961929CD2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60B60926-6481-4B6C-B0E0-208010828438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7AA81A55-FD96-41D1-A3B5-E3A8F941E13A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65186445-0212-49C2-900D-D9FC9424A109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D4465915-62C6-412B-840F-FDED77F41546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BA3EF9BD-46F6-421B-AD31-B205B470520F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49B3B277-E4DF-4EF9-A021-83D077510970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8B8D3074-EEF9-490C-BEE2-23EAB2E8CDD8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8C808B93-06C0-4D5C-8725-0BAA252F21B1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<sst xmlns="http://schemas.openxmlformats.org/spreadsheetml/2006/main" count="3860" uniqueCount="897">
  <si>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</si>
  <si>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</si>
  <si>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</si>
  <si>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</si>
  <si>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</si>
  <si>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</si>
  <si>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</si>
  <si>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</si>
  <si>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</si>
  <si>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</si>
  <si>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</si>
  <si>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</si>
  <si>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</si>
  <si>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</si>
  <si>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</si>
  <si>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</si>
  <si>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</si>
  <si>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</si>
  <si>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</si>
  <si>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</si>
  <si>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</si>
  <si>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</si>
  <si>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</si>
  <si>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</si>
  <si>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</si>
  <si>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</si>
  <si>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</si>
  <si>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</si>
  <si>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</si>
  <si>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</si>
  <si>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</si>
  <si>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</si>
  <si>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</si>
  <si>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</si>
  <si>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</si>
  <si>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</si>
  <si>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</si>
  <si>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</si>
  <si>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</si>
  <si>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</si>
  <si>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</si>
  <si>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</si>
  <si>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</si>
  <si>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</si>
  <si>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</si>
  <si>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</si>
  <si>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</si>
  <si>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</si>
  <si>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</si>
  <si>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</si>
  <si>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</si>
  <si>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</si>
  <si>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</si>
  <si>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</si>
  <si>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</si>
  <si>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</si>
  <si>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</si>
  <si>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</si>
  <si>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</si>
  <si>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</si>
  <si>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</si>
  <si>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</si>
  <si>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</si>
  <si>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</si>
  <si>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</si>
  <si>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</si>
  <si>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</si>
  <si>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</si>
  <si>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</si>
  <si>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</si>
  <si>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</si>
  <si>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</si>
  <si>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</si>
  <si>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</si>
  <si>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</si>
  <si>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</si>
  <si>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</si>
  <si>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</si>
  <si>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</si>
  <si>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</si>
  <si>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</si>
  <si>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</si>
  <si>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</si>
  <si>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</si>
  <si>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</si>
  <si>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</si>
  <si>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</si>
  <si>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</si>
  <si>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</si>
  <si>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</si>
  <si>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</si>
  <si>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</si>
  <si>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</si>
  <si>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</si>
  <si>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</si>
  <si>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</si>
  <si>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</si>
  <si>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</si>
  <si>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</si>
  <si>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</si>
  <si>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</si>
  <si>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</si>
  <si>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</si>
  <si>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</si>
  <si>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</si>
  <si>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</si>
  <si>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</si>
  <si>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</si>
  <si>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</si>
  <si>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</si>
  <si>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</si>
  <si>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</si>
  <si>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</si>
  <si>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</si>
  <si>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</si>
  <si>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</si>
  <si>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</si>
  <si>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</si>
  <si>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</si>
  <si>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</si>
  <si>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</si>
  <si>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</si>
  <si>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</si>
  <si>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</si>
  <si>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</si>
  <si>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</si>
  <si>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</si>
  <si>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</si>
  <si>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</si>
  <si>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</si>
  <si>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</si>
  <si>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</si>
  <si>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</si>
  <si>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</si>
  <si>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</si>
  <si>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</si>
  <si>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</si>
  <si>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</si>
  <si>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</si>
  <si>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</si>
  <si>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</si>
  <si>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</si>
  <si>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</si>
  <si>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</si>
  <si>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</si>
  <si>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</si>
  <si>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</si>
  <si>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</si>
  <si>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</si>
  <si>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</si>
  <si>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</si>
  <si>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</si>
  <si>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</si>
  <si>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</si>
  <si>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</si>
  <si>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</si>
  <si>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</si>
  <si>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</si>
  <si>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</si>
  <si>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</si>
  <si>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</si>
  <si>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</si>
  <si>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</si>
  <si>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</si>
  <si>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</si>
  <si>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</si>
  <si>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</si>
  <si>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</si>
  <si>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</si>
  <si>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</si>
  <si>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</si>
  <si>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</si>
  <si>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</si>
  <si>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</si>
  <si>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</si>
  <si>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</si>
  <si>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</si>
  <si>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</si>
  <si>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</si>
  <si>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</si>
  <si>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</si>
  <si>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</si>
  <si>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</si>
  <si>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</si>
  <si>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</si>
  <si>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</si>
  <si>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</si>
  <si>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</si>
  <si>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</si>
  <si>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</si>
  <si>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</si>
  <si>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</si>
  <si>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</si>
  <si>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</si>
  <si>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</si>
  <si>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</si>
  <si>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</si>
  <si>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</si>
  <si>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</si>
  <si>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</si>
  <si>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</si>
  <si>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</si>
  <si>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</si>
  <si>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</si>
  <si>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</si>
  <si>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</si>
  <si>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</si>
  <si>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</si>
  <si>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</si>
  <si>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</si>
  <si>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</si>
  <si>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</si>
  <si>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</si>
  <si>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</si>
  <si>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</si>
  <si>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</si>
  <si>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</si>
  <si>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</si>
  <si>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</si>
  <si>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</si>
  <si>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</si>
  <si>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</si>
  <si>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</si>
  <si>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</si>
  <si>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</si>
  <si>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</si>
  <si>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</si>
  <si>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</si>
  <si>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</si>
  <si>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</si>
  <si>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</si>
  <si>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</si>
  <si>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</si>
  <si>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</si>
  <si>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</si>
  <si>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</si>
  <si>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</si>
  <si>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</si>
  <si>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</si>
  <si>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</si>
  <si>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</si>
  <si>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</si>
  <si>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</si>
  <si>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</si>
  <si>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</si>
  <si>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</si>
  <si>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</si>
  <si>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</si>
  <si>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</si>
  <si>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</si>
  <si>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</si>
  <si>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</si>
  <si>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</si>
  <si>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</si>
  <si>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</si>
  <si>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</si>
  <si>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</si>
  <si>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</si>
  <si>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</si>
  <si>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</si>
  <si>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</si>
  <si>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</si>
  <si>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</si>
  <si>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</si>
  <si>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</si>
  <si>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</si>
  <si>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</si>
  <si>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</si>
  <si>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</si>
  <si>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</si>
  <si>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</si>
  <si>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</si>
  <si>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</si>
  <si>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</si>
  <si>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</si>
  <si>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</si>
  <si>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</si>
  <si>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</si>
  <si>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</si>
  <si>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</si>
  <si>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</si>
  <si>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</si>
  <si>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</si>
  <si>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</si>
  <si>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</si>
  <si>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</si>
  <si>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</si>
  <si>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</si>
  <si>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</si>
  <si>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</si>
  <si>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</si>
  <si>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</si>
  <si>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</si>
  <si>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</si>
  <si>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</si>
  <si>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</si>
  <si>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</si>
  <si>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</si>
  <si>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</si>
  <si>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</si>
  <si>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</si>
  <si>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</si>
  <si>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</si>
  <si>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</si>
  <si>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</si>
  <si>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</si>
  <si>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</si>
  <si>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</si>
  <si>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</si>
  <si>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</si>
  <si>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</si>
  <si>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</si>
  <si>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</si>
  <si>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</si>
  <si>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</si>
  <si>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</si>
  <si>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</si>
  <si>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</si>
  <si>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</si>
  <si>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</si>
  <si>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</si>
  <si>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</si>
  <si>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</si>
  <si>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</si>
  <si>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</si>
  <si>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</si>
  <si>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</si>
  <si>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</si>
  <si>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</si>
  <si>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</si>
  <si>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</si>
  <si>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</si>
  <si>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</si>
  <si>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</si>
  <si>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</si>
  <si>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</si>
  <si>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</si>
  <si>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</si>
  <si>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</si>
  <si>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</si>
  <si>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</si>
  <si>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</si>
  <si>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</si>
  <si>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</si>
  <si>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</si>
  <si>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</si>
  <si>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</si>
  <si>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</si>
  <si>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</si>
  <si>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</si>
  <si>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</si>
  <si>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</si>
  <si>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</si>
  <si>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</si>
  <si>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</si>
  <si>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</si>
  <si>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</si>
  <si>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</si>
  <si>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</si>
  <si>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</si>
  <si>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</si>
  <si>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</si>
  <si>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</si>
  <si>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</si>
  <si>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</si>
  <si>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</si>
  <si>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</si>
  <si>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</si>
  <si>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</si>
  <si>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</si>
  <si>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</si>
  <si>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</si>
  <si>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</si>
  <si>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</si>
  <si>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</si>
  <si>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</si>
  <si>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</si>
  <si>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</si>
  <si>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</si>
  <si>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</si>
  <si>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</si>
  <si>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</si>
  <si>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</si>
  <si>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</si>
  <si>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</si>
  <si>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</si>
  <si>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</si>
  <si>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</si>
  <si>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</si>
  <si>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</si>
  <si>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</si>
  <si>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</si>
  <si>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</si>
  <si>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</si>
  <si>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</si>
  <si>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</si>
  <si>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</si>
  <si>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</si>
  <si>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</si>
  <si>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</si>
  <si>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</si>
  <si>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</si>
  <si>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</si>
  <si>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</si>
  <si>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</si>
  <si>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</si>
  <si>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</si>
  <si>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</si>
  <si>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</si>
  <si>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</si>
  <si>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</si>
  <si>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</si>
  <si>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</si>
  <si>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</si>
  <si>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</si>
  <si>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</si>
  <si>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</si>
  <si>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</si>
  <si>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</si>
  <si>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</si>
  <si>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</si>
  <si>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</si>
  <si>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</si>
  <si>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</si>
  <si>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</si>
  <si>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</si>
  <si>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</si>
  <si>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</si>
  <si>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</si>
  <si>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</si>
  <si>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</si>
  <si>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</si>
  <si>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</si>
  <si>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</si>
  <si>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</si>
  <si>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</si>
  <si>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</si>
  <si>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</si>
  <si>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</si>
  <si>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</si>
  <si>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</si>
  <si>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</si>
  <si>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</si>
  <si>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</si>
  <si>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</si>
  <si>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</si>
  <si>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</si>
  <si>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</si>
  <si>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</si>
  <si>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</si>
  <si>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</si>
  <si>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</si>
  <si>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</si>
  <si>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</si>
  <si>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</si>
  <si>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</si>
  <si>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</si>
  <si>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</si>
  <si>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</si>
  <si>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</si>
  <si>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</si>
  <si>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</si>
  <si>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</si>
  <si>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</si>
  <si>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</si>
  <si>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</si>
  <si>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</si>
  <si>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</si>
  <si>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</si>
  <si>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</si>
  <si>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</si>
  <si>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</si>
  <si>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</si>
  <si>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</si>
  <si>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</si>
  <si>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</si>
  <si>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</si>
  <si>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</si>
  <si>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</si>
  <si>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</si>
  <si>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</si>
  <si>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</si>
  <si>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</si>
  <si>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</si>
  <si>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</si>
  <si>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</si>
  <si>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</si>
  <si>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</si>
  <si>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</si>
  <si>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</si>
  <si>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</si>
  <si>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</si>
  <si>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</si>
  <si>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</si>
  <si>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</si>
  <si>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</si>
  <si>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</si>
  <si>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</si>
  <si>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</si>
  <si>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</si>
  <si>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</si>
  <si>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</si>
  <si>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</si>
  <si>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</si>
  <si>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</si>
  <si>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</si>
  <si>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</si>
  <si>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</si>
  <si>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</si>
  <si>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</si>
  <si>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</si>
  <si>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</si>
  <si>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</si>
  <si>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</si>
  <si>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</si>
  <si>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</si>
  <si>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</si>
  <si>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</si>
  <si>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</si>
  <si>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</si>
  <si>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</si>
  <si>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</si>
  <si>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</si>
  <si>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</si>
  <si>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</si>
  <si>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</si>
  <si>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</si>
  <si>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</si>
  <si>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</si>
  <si>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</si>
  <si>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</si>
  <si>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</si>
  <si>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</si>
  <si>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</si>
  <si>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</si>
  <si>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</si>
  <si>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</si>
  <si>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</si>
  <si>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</si>
  <si>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</si>
  <si>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</si>
  <si>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</si>
  <si>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</si>
  <si>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</si>
  <si>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</si>
  <si>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</si>
  <si>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</si>
  <si>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</si>
  <si>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</si>
  <si>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</si>
  <si>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</si>
  <si>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</si>
  <si>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</si>
  <si>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</si>
  <si>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</si>
  <si>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</si>
  <si>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</si>
  <si>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</si>
  <si>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</si>
  <si>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</si>
  <si>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</si>
  <si>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</si>
  <si>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</si>
  <si>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</si>
  <si>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</si>
  <si>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</si>
  <si>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</si>
  <si>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</si>
  <si>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</si>
  <si>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</si>
  <si>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</si>
  <si>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</si>
  <si>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</si>
  <si>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</si>
  <si>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</si>
  <si>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</si>
  <si>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</si>
  <si>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</si>
  <si>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</si>
  <si>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</si>
  <si>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</si>
  <si>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</si>
  <si>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</si>
  <si>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</si>
  <si>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</si>
  <si>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</si>
  <si>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</si>
  <si>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</si>
  <si>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</si>
  <si>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</si>
  <si>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</si>
  <si>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</si>
  <si>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</si>
  <si>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</si>
  <si>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</si>
  <si>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</si>
  <si>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</si>
  <si>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</si>
  <si>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</si>
  <si>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</si>
  <si>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</si>
  <si>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</si>
  <si>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</si>
  <si>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</si>
  <si>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</si>
  <si>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</si>
  <si>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</si>
  <si>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</si>
  <si>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</si>
  <si>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</si>
  <si>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</si>
  <si>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</si>
  <si>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</si>
  <si>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</si>
  <si>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</si>
  <si>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</si>
  <si>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</si>
  <si>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</si>
  <si>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</si>
  <si>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</si>
  <si>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</si>
  <si>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</si>
  <si>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</si>
  <si>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</si>
  <si>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</si>
  <si>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</si>
  <si>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</si>
  <si>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</si>
  <si>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</si>
  <si>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</si>
  <si>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</si>
  <si>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</si>
  <si>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</si>
  <si>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</si>
  <si>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</si>
  <si>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</si>
  <si>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</si>
  <si>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</si>
  <si>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</si>
  <si>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</si>
  <si>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</si>
  <si>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</si>
  <si>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</si>
  <si>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</si>
  <si>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</si>
  <si>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</si>
  <si>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</si>
  <si>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</si>
  <si>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</si>
  <si>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</si>
  <si>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</si>
  <si>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</si>
  <si>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</si>
  <si>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</si>
  <si>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</si>
  <si>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</si>
  <si>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</si>
  <si>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</si>
  <si>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</si>
  <si>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</si>
  <si>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</si>
  <si>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</si>
  <si>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</si>
  <si>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</si>
  <si>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</si>
  <si>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</si>
  <si>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</si>
  <si>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</si>
  <si>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</si>
  <si>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</si>
  <si>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</si>
  <si>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</si>
  <si>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</si>
  <si>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</si>
  <si>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</si>
  <si>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</si>
  <si>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</si>
  <si>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</si>
  <si>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</si>
  <si>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</si>
  <si>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</si>
  <si>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</si>
  <si>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</si>
  <si>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</si>
  <si>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</si>
  <si>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</si>
  <si>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</si>
  <si>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</si>
  <si>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</si>
  <si>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</si>
  <si>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</si>
  <si>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</si>
  <si>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</si>
  <si>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</si>
  <si>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</si>
  <si>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</si>
  <si>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</si>
  <si>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</si>
  <si>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</si>
  <si>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</si>
  <si>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</si>
  <si>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</si>
  <si>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</si>
  <si>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</si>
  <si>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</si>
  <si>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</si>
  <si>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</si>
  <si>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</si>
  <si>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</si>
  <si>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</si>
  <si>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</si>
  <si>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</si>
  <si>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</si>
  <si>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</si>
  <si>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</si>
  <si>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</si>
  <si>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</si>
  <si>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</si>
  <si>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</si>
  <si>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</si>
  <si>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</si>
  <si>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</si>
  <si>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</si>
  <si>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</si>
  <si>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</si>
  <si>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</si>
  <si>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</si>
  <si>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</si>
  <si>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</si>
  <si>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</si>
  <si>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</si>
  <si>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</si>
  <si>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</si>
  <si>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</si>
  <si>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</si>
  <si>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</si>
  <si>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</si>
  <si>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</si>
  <si>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</si>
  <si>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</si>
  <si>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</si>
  <si>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</si>
  <si>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</si>
  <si>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</si>
  <si>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</si>
  <si>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</si>
  <si>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</si>
  <si>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</si>
  <si>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</si>
  <si>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</si>
  <si>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</si>
  <si>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</si>
  <si>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</si>
  <si>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</si>
  <si>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</si>
  <si>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</si>
  <si>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</si>
  <si>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</si>
  <si>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</si>
  <si>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</si>
  <si>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</si>
  <si>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</si>
  <si>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</si>
  <si>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</si>
  <si>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</si>
  <si>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</si>
  <si>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</si>
  <si>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</si>
  <si>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</si>
  <si>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</si>
  <si>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</si>
  <si>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</si>
  <si>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</si>
  <si>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</si>
  <si>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</si>
  <si>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</si>
  <si>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</si>
  <si>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</si>
  <si>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</si>
  <si>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</si>
  <si>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</si>
  <si>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</si>
  <si>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</si>
  <si>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</si>
  <si>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</si>
  <si>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</si>
  <si>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</si>
  <si>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</si>
  <si>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</si>
  <si>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</si>
  <si>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</si>
  <si>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</si>
  <si>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</si>
  <si>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</si>
  <si>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</si>
  <si>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</si>
  <si>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</si>
  <si>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</si>
  <si>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</si>
  <si>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</si>
  <si>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</si>
  <si>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</si>
  <si>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</si>
  <si>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</si>
  <si>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</si>
  <si>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</si>
  <si>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</si>
  <si>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</si>
  <si>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</si>
  <si>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</si>
  <si>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</si>
  <si>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</si>
  <si>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</si>
  <si>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</si>
  <si>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</si>
  <si>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</si>
  <si>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</si>
  <si>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</si>
  <si>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</si>
  <si>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</si>
  <si>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</si>
  <si>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</si>
  <si>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</si>
  <si>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</si>
  <si>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</si>
  <si>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</si>
  <si>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</si>
  <si>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</si>
  <si>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</si>
  <si>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</si>
  <si>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</si>
  <si>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</si>
  <si>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</si>
  <si>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</si>
  <si>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</si>
  <si>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</si>
  <si>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</si>
  <si>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</si>
  <si>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</si>
  <si>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</si>
  <si>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</si>
  <si>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</si>
  <si>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</si>
  <si>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</si>
  <si>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</si>
  <si>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</si>
  <si>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</si>
  <si>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</si>
  <si>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</si>
  <si>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</si>
  <si>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</si>
  <si>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</si>
  <si>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</si>
  <si>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</si>
  <si>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</si>
  <si>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</si>
  <si>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</si>
  <si>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</si>
  <si>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</si>
  <si>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</si>
  <si>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</si>
  <si>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</si>
  <si>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</si>
  <si>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</si>
  <si>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</si>
  <si>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</si>
  <si>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</si>
  <si>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</si>
  <si>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</si>
  <si>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</si>
  <si>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</si>
  <si>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</si>
  <si>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</si>
  <si>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</si>
  <si>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</si>
  <si>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</si>
  <si>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</si>
  <si>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</si>
  <si>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</si>
  <si>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</si>
  <si>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</si>
  <si>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</si>
  <si>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</si>
  <si>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</si>
  <si>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</si>
  <si>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</si>
  <si>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</si>
  <si>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</si>
  <si>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</si>
  <si>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</si>
  <si>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</si>
  <si>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</si>
  <si>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</si>
  <si>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</si>
  <si>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07/02</t>
  </si>
  <si>
    <t>07/12</t>
  </si>
  <si>
    <t>Unity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</si>
</sst>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BFE83-FA8C-4E25-9D52-EF3E3A7D98C3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539</v>
      </c>
      <c r="C2" s="21">
        <v>539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-64772+12924</f>
        <v>-51848</v>
      </c>
      <c r="G9" s="18"/>
      <c r="H9" s="18"/>
      <c r="I9" s="18"/>
      <c r="J9" s="67">
        <f>SUM(I431)</f>
        <v>16233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2350000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24879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f>24879+8134-24879</f>
        <v>8134</v>
      </c>
      <c r="G13" s="18"/>
      <c r="H13" s="18">
        <v>24879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3354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2334519</v>
      </c>
      <c r="G19" s="41">
        <f>SUM(G9:G18)</f>
        <v>0</v>
      </c>
      <c r="H19" s="41">
        <f>SUM(H9:H18)</f>
        <v>24879</v>
      </c>
      <c r="I19" s="41">
        <f>SUM(I9:I18)</f>
        <v>0</v>
      </c>
      <c r="J19" s="41">
        <f>SUM(J9:J18)</f>
        <v>16233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2248228</v>
      </c>
      <c r="G23" s="18"/>
      <c r="H23" s="18">
        <f>24879+31022</f>
        <v>55901</v>
      </c>
      <c r="I23" s="18">
        <v>-2279251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31186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>
        <f>2317251-38000</f>
        <v>2279251</v>
      </c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2279414</v>
      </c>
      <c r="G33" s="41">
        <f>SUM(G23:G32)</f>
        <v>0</v>
      </c>
      <c r="H33" s="41">
        <f>SUM(H23:H32)</f>
        <v>55901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20814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5045</v>
      </c>
      <c r="G41" s="18"/>
      <c r="H41" s="18">
        <v>-31022</v>
      </c>
      <c r="I41" s="18"/>
      <c r="J41" s="13">
        <f>SUM(I449)</f>
        <v>16233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-384+24342+24879-31186+18935+13474-10814-10000</f>
        <v>29246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55105</v>
      </c>
      <c r="G43" s="41">
        <f>SUM(G35:G42)</f>
        <v>0</v>
      </c>
      <c r="H43" s="41">
        <f>SUM(H35:H42)</f>
        <v>-31022</v>
      </c>
      <c r="I43" s="41">
        <f>SUM(I35:I42)</f>
        <v>0</v>
      </c>
      <c r="J43" s="41">
        <f>SUM(J35:J42)</f>
        <v>16233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2334519</v>
      </c>
      <c r="G44" s="41">
        <f>G43+G33</f>
        <v>0</v>
      </c>
      <c r="H44" s="41">
        <f>H43+H33</f>
        <v>24879</v>
      </c>
      <c r="I44" s="41">
        <f>I43+I33</f>
        <v>0</v>
      </c>
      <c r="J44" s="41">
        <f>J43+J33</f>
        <v>16233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1770257-311529</f>
        <v>1458728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1458728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1568</v>
      </c>
      <c r="G88" s="18"/>
      <c r="H88" s="18"/>
      <c r="I88" s="18"/>
      <c r="J88" s="18">
        <v>129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1568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129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1460296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129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f>811472</f>
        <v>811472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311529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29432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>
        <v>24879</v>
      </c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1152433</v>
      </c>
      <c r="G113" s="41">
        <f>SUM(G109:G112)</f>
        <v>0</v>
      </c>
      <c r="H113" s="41">
        <f>SUM(H109:H112)</f>
        <v>24879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115010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115010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1267443</v>
      </c>
      <c r="G132" s="41">
        <f>G113+SUM(G128:G129)</f>
        <v>0</v>
      </c>
      <c r="H132" s="41">
        <f>H113+SUM(H128:H131)</f>
        <v>24879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2046+18720+7558-3858-3197+2</f>
        <v>21271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7134+2554-3596</f>
        <v>6092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19664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19664</v>
      </c>
      <c r="G154" s="41">
        <f>SUM(G142:G153)</f>
        <v>0</v>
      </c>
      <c r="H154" s="41">
        <f>SUM(H142:H153)</f>
        <v>27363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19664</v>
      </c>
      <c r="G161" s="41">
        <f>G139+G154+SUM(G155:G160)</f>
        <v>0</v>
      </c>
      <c r="H161" s="41">
        <f>H139+H154+SUM(H155:H160)</f>
        <v>27363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>
        <f>182749+38000</f>
        <v>220749</v>
      </c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220749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220749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2747403</v>
      </c>
      <c r="G185" s="47">
        <f>G104+G132+G161+G184</f>
        <v>0</v>
      </c>
      <c r="H185" s="47">
        <f>H104+H132+H161+H184</f>
        <v>52242</v>
      </c>
      <c r="I185" s="47">
        <f>I104+I132+I161+I184</f>
        <v>220749</v>
      </c>
      <c r="J185" s="47">
        <f>J104+J132+J184</f>
        <v>129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300607+6380+9435-24879</f>
        <v>291543</v>
      </c>
      <c r="G189" s="18">
        <f>110804+4613+1436+3138+1224+4424+18917+21637</f>
        <v>166193</v>
      </c>
      <c r="H189" s="18">
        <f>8569+4095</f>
        <v>12664</v>
      </c>
      <c r="I189" s="18">
        <f>1025+15067+5082+45+417+12</f>
        <v>21648</v>
      </c>
      <c r="J189" s="18">
        <v>299</v>
      </c>
      <c r="K189" s="18"/>
      <c r="L189" s="19">
        <f>SUM(F189:K189)</f>
        <v>492347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82630+92114+1000+646</f>
        <v>176390</v>
      </c>
      <c r="G190" s="18">
        <f>57302+4531+855+1641+567+2721+11634+15484+9+36+48</f>
        <v>94828</v>
      </c>
      <c r="H190" s="18">
        <f>1915+7065+2938+216110+5097</f>
        <v>233125</v>
      </c>
      <c r="I190" s="18">
        <f>1468+322</f>
        <v>1790</v>
      </c>
      <c r="J190" s="18"/>
      <c r="K190" s="18"/>
      <c r="L190" s="19">
        <f>SUM(F190:K190)</f>
        <v>506133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825</f>
        <v>825</v>
      </c>
      <c r="G192" s="18">
        <f>11+49</f>
        <v>60</v>
      </c>
      <c r="H192" s="18"/>
      <c r="I192" s="18">
        <f>2768</f>
        <v>2768</v>
      </c>
      <c r="J192" s="18"/>
      <c r="K192" s="18"/>
      <c r="L192" s="19">
        <f>SUM(F192:K192)</f>
        <v>3653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19371+12676+2695</f>
        <v>34742</v>
      </c>
      <c r="G194" s="18">
        <f>202+66+281+1201+123+44+184+786+39+167</f>
        <v>3093</v>
      </c>
      <c r="H194" s="18"/>
      <c r="I194" s="18">
        <f>294</f>
        <v>294</v>
      </c>
      <c r="J194" s="18"/>
      <c r="K194" s="18"/>
      <c r="L194" s="19">
        <f t="shared" ref="L194:L200" si="0">SUM(F194:K194)</f>
        <v>38129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25622</f>
        <v>25622</v>
      </c>
      <c r="G195" s="18">
        <f>6140+180+238+84+293+1254</f>
        <v>8189</v>
      </c>
      <c r="H195" s="18"/>
      <c r="I195" s="18">
        <f>576+977+1612</f>
        <v>3165</v>
      </c>
      <c r="J195" s="18"/>
      <c r="K195" s="18"/>
      <c r="L195" s="19">
        <f t="shared" si="0"/>
        <v>36976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535+150+1545+1500</f>
        <v>3730</v>
      </c>
      <c r="G196" s="18"/>
      <c r="H196" s="18">
        <f>13699+7830+1333+125+124169</f>
        <v>147156</v>
      </c>
      <c r="I196" s="18">
        <f>1058</f>
        <v>1058</v>
      </c>
      <c r="J196" s="18"/>
      <c r="K196" s="18">
        <f>2701</f>
        <v>2701</v>
      </c>
      <c r="L196" s="19">
        <f t="shared" si="0"/>
        <v>154645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68916+23184</f>
        <v>92100</v>
      </c>
      <c r="G197" s="18">
        <f>17913+384+384+822+300+1318+5637+7634</f>
        <v>34392</v>
      </c>
      <c r="H197" s="18">
        <f>1298+798+642+411+1922+3698</f>
        <v>8769</v>
      </c>
      <c r="I197" s="18">
        <f>2353</f>
        <v>2353</v>
      </c>
      <c r="J197" s="18"/>
      <c r="K197" s="18">
        <f>1793+344</f>
        <v>2137</v>
      </c>
      <c r="L197" s="19">
        <f t="shared" si="0"/>
        <v>139751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15929</f>
        <v>15929</v>
      </c>
      <c r="G199" s="18">
        <f>168+56+260+1110</f>
        <v>1594</v>
      </c>
      <c r="H199" s="18">
        <f>7370+670+2839+2500+20169+138206+3113+5788</f>
        <v>180655</v>
      </c>
      <c r="I199" s="18">
        <f>6540+12189+6231</f>
        <v>24960</v>
      </c>
      <c r="J199" s="18">
        <v>873</v>
      </c>
      <c r="K199" s="18"/>
      <c r="L199" s="19">
        <f t="shared" si="0"/>
        <v>224011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8436+83601+81804</f>
        <v>173841</v>
      </c>
      <c r="I200" s="18"/>
      <c r="J200" s="18"/>
      <c r="K200" s="18"/>
      <c r="L200" s="19">
        <f t="shared" si="0"/>
        <v>173841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640881</v>
      </c>
      <c r="G203" s="41">
        <f t="shared" si="1"/>
        <v>308349</v>
      </c>
      <c r="H203" s="41">
        <f t="shared" si="1"/>
        <v>756210</v>
      </c>
      <c r="I203" s="41">
        <f t="shared" si="1"/>
        <v>58036</v>
      </c>
      <c r="J203" s="41">
        <f t="shared" si="1"/>
        <v>1172</v>
      </c>
      <c r="K203" s="41">
        <f t="shared" si="1"/>
        <v>4838</v>
      </c>
      <c r="L203" s="41">
        <f t="shared" si="1"/>
        <v>1769486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789198</v>
      </c>
      <c r="I225" s="18"/>
      <c r="J225" s="18"/>
      <c r="K225" s="18"/>
      <c r="L225" s="19">
        <f>SUM(F225:K225)</f>
        <v>789198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f>163437</f>
        <v>163437</v>
      </c>
      <c r="I226" s="18"/>
      <c r="J226" s="18"/>
      <c r="K226" s="18"/>
      <c r="L226" s="19">
        <f>SUM(F226:K226)</f>
        <v>163437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14825</v>
      </c>
      <c r="I236" s="18"/>
      <c r="J236" s="18"/>
      <c r="K236" s="18"/>
      <c r="L236" s="19">
        <f t="shared" si="4"/>
        <v>14825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967460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967460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640881</v>
      </c>
      <c r="G249" s="41">
        <f t="shared" si="8"/>
        <v>308349</v>
      </c>
      <c r="H249" s="41">
        <f t="shared" si="8"/>
        <v>1723670</v>
      </c>
      <c r="I249" s="41">
        <f t="shared" si="8"/>
        <v>58036</v>
      </c>
      <c r="J249" s="41">
        <f t="shared" si="8"/>
        <v>1172</v>
      </c>
      <c r="K249" s="41">
        <f t="shared" si="8"/>
        <v>4838</v>
      </c>
      <c r="L249" s="41">
        <f t="shared" si="8"/>
        <v>2736946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20077</v>
      </c>
      <c r="L252" s="19">
        <f>SUM(F252:K252)</f>
        <v>20077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f>31186+2748</f>
        <v>33934</v>
      </c>
      <c r="L253" s="19">
        <f>SUM(F253:K253)</f>
        <v>33934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54011</v>
      </c>
      <c r="L262" s="41">
        <f t="shared" si="9"/>
        <v>54011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640881</v>
      </c>
      <c r="G263" s="42">
        <f t="shared" si="11"/>
        <v>308349</v>
      </c>
      <c r="H263" s="42">
        <f t="shared" si="11"/>
        <v>1723670</v>
      </c>
      <c r="I263" s="42">
        <f t="shared" si="11"/>
        <v>58036</v>
      </c>
      <c r="J263" s="42">
        <f t="shared" si="11"/>
        <v>1172</v>
      </c>
      <c r="K263" s="42">
        <f t="shared" si="11"/>
        <v>58849</v>
      </c>
      <c r="L263" s="42">
        <f t="shared" si="11"/>
        <v>2790957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1800+24879</f>
        <v>26679</v>
      </c>
      <c r="G268" s="18">
        <f>26+112+44</f>
        <v>182</v>
      </c>
      <c r="H268" s="18">
        <f>130</f>
        <v>130</v>
      </c>
      <c r="I268" s="18">
        <f>159</f>
        <v>159</v>
      </c>
      <c r="J268" s="18"/>
      <c r="K268" s="18">
        <f>106+450</f>
        <v>556</v>
      </c>
      <c r="L268" s="19">
        <f>SUM(F268:K268)</f>
        <v>27706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5746+8665</f>
        <v>14411</v>
      </c>
      <c r="G269" s="18">
        <f>126+537+128+333+1549+10+45+56+10+462+1284</f>
        <v>4540</v>
      </c>
      <c r="H269" s="18">
        <f>1657+1235+254</f>
        <v>3146</v>
      </c>
      <c r="I269" s="18">
        <f>50+12135</f>
        <v>12185</v>
      </c>
      <c r="J269" s="18">
        <v>663</v>
      </c>
      <c r="K269" s="18">
        <f>-389+586+81+576+137+511</f>
        <v>1502</v>
      </c>
      <c r="L269" s="19">
        <f>SUM(F269:K269)</f>
        <v>36447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f>2404+6000+6319+775+66+2598</f>
        <v>18162</v>
      </c>
      <c r="I273" s="18"/>
      <c r="J273" s="18"/>
      <c r="K273" s="18"/>
      <c r="L273" s="19">
        <f t="shared" ref="L273:L279" si="12">SUM(F273:K273)</f>
        <v>18162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f>949</f>
        <v>949</v>
      </c>
      <c r="I274" s="18"/>
      <c r="J274" s="18"/>
      <c r="K274" s="18"/>
      <c r="L274" s="19">
        <f t="shared" si="12"/>
        <v>949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41090</v>
      </c>
      <c r="G282" s="42">
        <f t="shared" si="13"/>
        <v>4722</v>
      </c>
      <c r="H282" s="42">
        <f t="shared" si="13"/>
        <v>22387</v>
      </c>
      <c r="I282" s="42">
        <f t="shared" si="13"/>
        <v>12344</v>
      </c>
      <c r="J282" s="42">
        <f t="shared" si="13"/>
        <v>663</v>
      </c>
      <c r="K282" s="42">
        <f t="shared" si="13"/>
        <v>2058</v>
      </c>
      <c r="L282" s="41">
        <f t="shared" si="13"/>
        <v>83264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41090</v>
      </c>
      <c r="G330" s="41">
        <f t="shared" si="20"/>
        <v>4722</v>
      </c>
      <c r="H330" s="41">
        <f t="shared" si="20"/>
        <v>22387</v>
      </c>
      <c r="I330" s="41">
        <f t="shared" si="20"/>
        <v>12344</v>
      </c>
      <c r="J330" s="41">
        <f t="shared" si="20"/>
        <v>663</v>
      </c>
      <c r="K330" s="41">
        <f t="shared" si="20"/>
        <v>2058</v>
      </c>
      <c r="L330" s="41">
        <f t="shared" si="20"/>
        <v>83264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41090</v>
      </c>
      <c r="G344" s="41">
        <f>G330</f>
        <v>4722</v>
      </c>
      <c r="H344" s="41">
        <f>H330</f>
        <v>22387</v>
      </c>
      <c r="I344" s="41">
        <f>I330</f>
        <v>12344</v>
      </c>
      <c r="J344" s="41">
        <f>J330</f>
        <v>663</v>
      </c>
      <c r="K344" s="47">
        <f>K330+K343</f>
        <v>2058</v>
      </c>
      <c r="L344" s="41">
        <f>L330+L343</f>
        <v>83264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0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f>220749</f>
        <v>220749</v>
      </c>
      <c r="I368" s="18"/>
      <c r="J368" s="18"/>
      <c r="K368" s="18"/>
      <c r="L368" s="13">
        <f t="shared" si="23"/>
        <v>220749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220749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220749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>
        <v>129</v>
      </c>
      <c r="I395" s="18"/>
      <c r="J395" s="24" t="s">
        <v>312</v>
      </c>
      <c r="K395" s="24" t="s">
        <v>312</v>
      </c>
      <c r="L395" s="56">
        <f>SUM(F395:K395)</f>
        <v>129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129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129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129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129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2761</v>
      </c>
      <c r="G431" s="18"/>
      <c r="H431" s="18">
        <f>129+13343</f>
        <v>13472</v>
      </c>
      <c r="I431" s="56">
        <f t="shared" ref="I431:I437" si="33">SUM(F431:H431)</f>
        <v>16233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2761</v>
      </c>
      <c r="G438" s="13">
        <f>SUM(G431:G437)</f>
        <v>0</v>
      </c>
      <c r="H438" s="13">
        <f>SUM(H431:H437)</f>
        <v>13472</v>
      </c>
      <c r="I438" s="13">
        <f>SUM(I431:I437)</f>
        <v>16233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2761</v>
      </c>
      <c r="G449" s="18"/>
      <c r="H449" s="18">
        <f>129+13343</f>
        <v>13472</v>
      </c>
      <c r="I449" s="56">
        <f>SUM(F449:H449)</f>
        <v>16233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2761</v>
      </c>
      <c r="G450" s="83">
        <f>SUM(G446:G449)</f>
        <v>0</v>
      </c>
      <c r="H450" s="83">
        <f>SUM(H446:H449)</f>
        <v>13472</v>
      </c>
      <c r="I450" s="83">
        <f>SUM(I446:I449)</f>
        <v>16233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2761</v>
      </c>
      <c r="G451" s="42">
        <f>G444+G450</f>
        <v>0</v>
      </c>
      <c r="H451" s="42">
        <f>H444+H450</f>
        <v>13472</v>
      </c>
      <c r="I451" s="42">
        <f>I444+I450</f>
        <v>16233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94579</v>
      </c>
      <c r="G455" s="18">
        <v>0</v>
      </c>
      <c r="H455" s="18">
        <v>0</v>
      </c>
      <c r="I455" s="18">
        <v>0</v>
      </c>
      <c r="J455" s="18">
        <v>16104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2747403</v>
      </c>
      <c r="G458" s="18"/>
      <c r="H458" s="18">
        <f>H185</f>
        <v>52242</v>
      </c>
      <c r="I458" s="18">
        <f>I185</f>
        <v>220749</v>
      </c>
      <c r="J458" s="18">
        <f>J185</f>
        <v>129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4080</v>
      </c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2751483</v>
      </c>
      <c r="G460" s="53">
        <f>SUM(G458:G459)</f>
        <v>0</v>
      </c>
      <c r="H460" s="53">
        <f>SUM(H458:H459)</f>
        <v>52242</v>
      </c>
      <c r="I460" s="53">
        <f>SUM(I458:I459)</f>
        <v>220749</v>
      </c>
      <c r="J460" s="53">
        <f>SUM(J458:J459)</f>
        <v>129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2790957</v>
      </c>
      <c r="G462" s="18"/>
      <c r="H462" s="18">
        <f>L282</f>
        <v>83264</v>
      </c>
      <c r="I462" s="18">
        <f>L374</f>
        <v>220749</v>
      </c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2790957</v>
      </c>
      <c r="G464" s="53">
        <f>SUM(G462:G463)</f>
        <v>0</v>
      </c>
      <c r="H464" s="53">
        <f>SUM(H462:H463)</f>
        <v>83264</v>
      </c>
      <c r="I464" s="53">
        <f>SUM(I462:I463)</f>
        <v>220749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55105</v>
      </c>
      <c r="G466" s="53">
        <f>(G455+G460)- G464</f>
        <v>0</v>
      </c>
      <c r="H466" s="53">
        <f>(H455+H460)- H464</f>
        <v>-31022</v>
      </c>
      <c r="I466" s="53">
        <f>(I455+I460)- I464</f>
        <v>0</v>
      </c>
      <c r="J466" s="53">
        <f>(J455+J460)- J464</f>
        <v>16233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180000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4.5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62430</v>
      </c>
      <c r="G485" s="18"/>
      <c r="H485" s="18"/>
      <c r="I485" s="18"/>
      <c r="J485" s="18"/>
      <c r="K485" s="53">
        <f>SUM(F485:J485)</f>
        <v>62430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20053</v>
      </c>
      <c r="G487" s="18"/>
      <c r="H487" s="18"/>
      <c r="I487" s="18"/>
      <c r="J487" s="18"/>
      <c r="K487" s="53">
        <f t="shared" si="34"/>
        <v>20053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42377</v>
      </c>
      <c r="G488" s="205"/>
      <c r="H488" s="205"/>
      <c r="I488" s="205"/>
      <c r="J488" s="205"/>
      <c r="K488" s="206">
        <f t="shared" si="34"/>
        <v>42377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5628-2783</f>
        <v>2845</v>
      </c>
      <c r="G489" s="18"/>
      <c r="H489" s="18"/>
      <c r="I489" s="18"/>
      <c r="J489" s="18"/>
      <c r="K489" s="53">
        <f t="shared" si="34"/>
        <v>2845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45222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45222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20955</v>
      </c>
      <c r="G491" s="205"/>
      <c r="H491" s="205"/>
      <c r="I491" s="205"/>
      <c r="J491" s="205"/>
      <c r="K491" s="206">
        <f t="shared" si="34"/>
        <v>20955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1880</v>
      </c>
      <c r="G492" s="18"/>
      <c r="H492" s="18"/>
      <c r="I492" s="18"/>
      <c r="J492" s="18"/>
      <c r="K492" s="53">
        <f t="shared" si="34"/>
        <v>1880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22835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22835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 t="shared" ref="F511:K511" si="35">F190+F269</f>
        <v>190801</v>
      </c>
      <c r="G511" s="18">
        <f t="shared" si="35"/>
        <v>99368</v>
      </c>
      <c r="H511" s="18">
        <f t="shared" si="35"/>
        <v>236271</v>
      </c>
      <c r="I511" s="18">
        <f t="shared" si="35"/>
        <v>13975</v>
      </c>
      <c r="J511" s="18">
        <f t="shared" si="35"/>
        <v>663</v>
      </c>
      <c r="K511" s="18">
        <f t="shared" si="35"/>
        <v>1502</v>
      </c>
      <c r="L511" s="88">
        <f>SUM(F511:K511)</f>
        <v>542580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 t="shared" ref="F512:K512" si="36">F208+F288</f>
        <v>0</v>
      </c>
      <c r="G512" s="18">
        <f t="shared" si="36"/>
        <v>0</v>
      </c>
      <c r="H512" s="18">
        <f t="shared" si="36"/>
        <v>0</v>
      </c>
      <c r="I512" s="18">
        <f t="shared" si="36"/>
        <v>0</v>
      </c>
      <c r="J512" s="18">
        <f t="shared" si="36"/>
        <v>0</v>
      </c>
      <c r="K512" s="18">
        <f t="shared" si="36"/>
        <v>0</v>
      </c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 t="shared" ref="F513:K513" si="37">F226+F307</f>
        <v>0</v>
      </c>
      <c r="G513" s="18">
        <f t="shared" si="37"/>
        <v>0</v>
      </c>
      <c r="H513" s="18">
        <f t="shared" si="37"/>
        <v>163437</v>
      </c>
      <c r="I513" s="18">
        <f t="shared" si="37"/>
        <v>0</v>
      </c>
      <c r="J513" s="18">
        <f t="shared" si="37"/>
        <v>0</v>
      </c>
      <c r="K513" s="18">
        <f t="shared" si="37"/>
        <v>0</v>
      </c>
      <c r="L513" s="88">
        <f>SUM(F513:K513)</f>
        <v>163437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190801</v>
      </c>
      <c r="G514" s="108">
        <f t="shared" ref="G514:L514" si="38">SUM(G511:G513)</f>
        <v>99368</v>
      </c>
      <c r="H514" s="108">
        <f t="shared" si="38"/>
        <v>399708</v>
      </c>
      <c r="I514" s="108">
        <f t="shared" si="38"/>
        <v>13975</v>
      </c>
      <c r="J514" s="108">
        <f t="shared" si="38"/>
        <v>663</v>
      </c>
      <c r="K514" s="108">
        <f t="shared" si="38"/>
        <v>1502</v>
      </c>
      <c r="L514" s="89">
        <f t="shared" si="38"/>
        <v>706017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f>7065+1915</f>
        <v>8980</v>
      </c>
      <c r="I516" s="18"/>
      <c r="J516" s="18"/>
      <c r="K516" s="18"/>
      <c r="L516" s="88">
        <f>SUM(F516:K516)</f>
        <v>8980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9">SUM(G516:G518)</f>
        <v>0</v>
      </c>
      <c r="H519" s="89">
        <f t="shared" si="39"/>
        <v>8980</v>
      </c>
      <c r="I519" s="89">
        <f t="shared" si="39"/>
        <v>0</v>
      </c>
      <c r="J519" s="89">
        <f t="shared" si="39"/>
        <v>0</v>
      </c>
      <c r="K519" s="89">
        <f t="shared" si="39"/>
        <v>0</v>
      </c>
      <c r="L519" s="89">
        <f t="shared" si="39"/>
        <v>8980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9977</v>
      </c>
      <c r="G521" s="18">
        <v>4948</v>
      </c>
      <c r="H521" s="18"/>
      <c r="I521" s="18">
        <v>500</v>
      </c>
      <c r="J521" s="18"/>
      <c r="K521" s="18"/>
      <c r="L521" s="88">
        <f>SUM(F521:K521)</f>
        <v>15425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9977</v>
      </c>
      <c r="G524" s="89">
        <f t="shared" ref="G524:L524" si="40">SUM(G521:G523)</f>
        <v>4948</v>
      </c>
      <c r="H524" s="89">
        <f t="shared" si="40"/>
        <v>0</v>
      </c>
      <c r="I524" s="89">
        <f t="shared" si="40"/>
        <v>500</v>
      </c>
      <c r="J524" s="89">
        <f t="shared" si="40"/>
        <v>0</v>
      </c>
      <c r="K524" s="89">
        <f t="shared" si="40"/>
        <v>0</v>
      </c>
      <c r="L524" s="89">
        <f t="shared" si="40"/>
        <v>15425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2938</v>
      </c>
      <c r="I526" s="18"/>
      <c r="J526" s="18"/>
      <c r="K526" s="18"/>
      <c r="L526" s="88">
        <f>SUM(F526:K526)</f>
        <v>2938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41">SUM(G526:G528)</f>
        <v>0</v>
      </c>
      <c r="H529" s="89">
        <f t="shared" si="41"/>
        <v>2938</v>
      </c>
      <c r="I529" s="89">
        <f t="shared" si="41"/>
        <v>0</v>
      </c>
      <c r="J529" s="89">
        <f t="shared" si="41"/>
        <v>0</v>
      </c>
      <c r="K529" s="89">
        <f t="shared" si="41"/>
        <v>0</v>
      </c>
      <c r="L529" s="89">
        <f t="shared" si="41"/>
        <v>2938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f>H582</f>
        <v>81804</v>
      </c>
      <c r="I531" s="18"/>
      <c r="J531" s="18"/>
      <c r="K531" s="18"/>
      <c r="L531" s="88">
        <f>SUM(F531:K531)</f>
        <v>81804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f>J582</f>
        <v>14825</v>
      </c>
      <c r="I533" s="18"/>
      <c r="J533" s="18"/>
      <c r="K533" s="18"/>
      <c r="L533" s="88">
        <f>SUM(F533:K533)</f>
        <v>14825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42">SUM(G531:G533)</f>
        <v>0</v>
      </c>
      <c r="H534" s="194">
        <f t="shared" si="42"/>
        <v>96629</v>
      </c>
      <c r="I534" s="194">
        <f t="shared" si="42"/>
        <v>0</v>
      </c>
      <c r="J534" s="194">
        <f t="shared" si="42"/>
        <v>0</v>
      </c>
      <c r="K534" s="194">
        <f t="shared" si="42"/>
        <v>0</v>
      </c>
      <c r="L534" s="194">
        <f t="shared" si="42"/>
        <v>96629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200778</v>
      </c>
      <c r="G535" s="89">
        <f t="shared" ref="G535:L535" si="43">G514+G519+G524+G529+G534</f>
        <v>104316</v>
      </c>
      <c r="H535" s="89">
        <f t="shared" si="43"/>
        <v>508255</v>
      </c>
      <c r="I535" s="89">
        <f t="shared" si="43"/>
        <v>14475</v>
      </c>
      <c r="J535" s="89">
        <f t="shared" si="43"/>
        <v>663</v>
      </c>
      <c r="K535" s="89">
        <f t="shared" si="43"/>
        <v>1502</v>
      </c>
      <c r="L535" s="89">
        <f t="shared" si="43"/>
        <v>829989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542580</v>
      </c>
      <c r="G539" s="87">
        <f>L516</f>
        <v>8980</v>
      </c>
      <c r="H539" s="87">
        <f>L521</f>
        <v>15425</v>
      </c>
      <c r="I539" s="87">
        <f>L526</f>
        <v>2938</v>
      </c>
      <c r="J539" s="87">
        <f>L531</f>
        <v>81804</v>
      </c>
      <c r="K539" s="87">
        <f>SUM(F539:J539)</f>
        <v>651727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163437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14825</v>
      </c>
      <c r="K541" s="87">
        <f>SUM(F541:J541)</f>
        <v>178262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4">SUM(F539:F541)</f>
        <v>706017</v>
      </c>
      <c r="G542" s="89">
        <f t="shared" si="44"/>
        <v>8980</v>
      </c>
      <c r="H542" s="89">
        <f t="shared" si="44"/>
        <v>15425</v>
      </c>
      <c r="I542" s="89">
        <f t="shared" si="44"/>
        <v>2938</v>
      </c>
      <c r="J542" s="89">
        <f t="shared" si="44"/>
        <v>96629</v>
      </c>
      <c r="K542" s="89">
        <f t="shared" si="44"/>
        <v>829989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5">SUM(F547:F549)</f>
        <v>0</v>
      </c>
      <c r="G550" s="108">
        <f t="shared" si="45"/>
        <v>0</v>
      </c>
      <c r="H550" s="108">
        <f t="shared" si="45"/>
        <v>0</v>
      </c>
      <c r="I550" s="108">
        <f t="shared" si="45"/>
        <v>0</v>
      </c>
      <c r="J550" s="108">
        <f t="shared" si="45"/>
        <v>0</v>
      </c>
      <c r="K550" s="108">
        <f t="shared" si="45"/>
        <v>0</v>
      </c>
      <c r="L550" s="89">
        <f t="shared" si="45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6">SUM(F552:F554)</f>
        <v>0</v>
      </c>
      <c r="G555" s="89">
        <f t="shared" si="46"/>
        <v>0</v>
      </c>
      <c r="H555" s="89">
        <f t="shared" si="46"/>
        <v>0</v>
      </c>
      <c r="I555" s="89">
        <f t="shared" si="46"/>
        <v>0</v>
      </c>
      <c r="J555" s="89">
        <f t="shared" si="46"/>
        <v>0</v>
      </c>
      <c r="K555" s="89">
        <f t="shared" si="46"/>
        <v>0</v>
      </c>
      <c r="L555" s="89">
        <f t="shared" si="46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7">SUM(G557:G559)</f>
        <v>0</v>
      </c>
      <c r="H560" s="194">
        <f t="shared" si="47"/>
        <v>0</v>
      </c>
      <c r="I560" s="194">
        <f t="shared" si="47"/>
        <v>0</v>
      </c>
      <c r="J560" s="194">
        <f t="shared" si="47"/>
        <v>0</v>
      </c>
      <c r="K560" s="194">
        <f t="shared" si="47"/>
        <v>0</v>
      </c>
      <c r="L560" s="194">
        <f t="shared" si="47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8">G550+G555+G560</f>
        <v>0</v>
      </c>
      <c r="H561" s="89">
        <f t="shared" si="48"/>
        <v>0</v>
      </c>
      <c r="I561" s="89">
        <f t="shared" si="48"/>
        <v>0</v>
      </c>
      <c r="J561" s="89">
        <f t="shared" si="48"/>
        <v>0</v>
      </c>
      <c r="K561" s="89">
        <f t="shared" si="48"/>
        <v>0</v>
      </c>
      <c r="L561" s="89">
        <f t="shared" si="48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789198</v>
      </c>
      <c r="I565" s="87">
        <f>SUM(F565:H565)</f>
        <v>789198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9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9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9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80164</v>
      </c>
      <c r="G569" s="18"/>
      <c r="H569" s="18"/>
      <c r="I569" s="87">
        <f t="shared" si="49"/>
        <v>80164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9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9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135946</v>
      </c>
      <c r="G572" s="18"/>
      <c r="H572" s="18">
        <f>3578+159859</f>
        <v>163437</v>
      </c>
      <c r="I572" s="87">
        <f t="shared" si="49"/>
        <v>299383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9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9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9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9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9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83601</v>
      </c>
      <c r="I581" s="18"/>
      <c r="J581" s="18"/>
      <c r="K581" s="104">
        <f t="shared" ref="K581:K587" si="50">SUM(H581:J581)</f>
        <v>83601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81804</f>
        <v>81804</v>
      </c>
      <c r="I582" s="18"/>
      <c r="J582" s="18">
        <v>14825</v>
      </c>
      <c r="K582" s="104">
        <f t="shared" si="50"/>
        <v>96629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50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50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8436</v>
      </c>
      <c r="I585" s="18"/>
      <c r="J585" s="18"/>
      <c r="K585" s="104">
        <f t="shared" si="50"/>
        <v>8436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50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50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173841</v>
      </c>
      <c r="I588" s="108">
        <f>SUM(I581:I587)</f>
        <v>0</v>
      </c>
      <c r="J588" s="108">
        <f>SUM(J581:J587)</f>
        <v>14825</v>
      </c>
      <c r="K588" s="108">
        <f>SUM(K581:K587)</f>
        <v>188666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J282+J203</f>
        <v>1835</v>
      </c>
      <c r="I594" s="18"/>
      <c r="J594" s="18"/>
      <c r="K594" s="104">
        <f>SUM(H594:J594)</f>
        <v>1835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1835</v>
      </c>
      <c r="I595" s="108">
        <f>SUM(I592:I594)</f>
        <v>0</v>
      </c>
      <c r="J595" s="108">
        <f>SUM(J592:J594)</f>
        <v>0</v>
      </c>
      <c r="K595" s="108">
        <f>SUM(K592:K594)</f>
        <v>1835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51">SUM(F601:F603)</f>
        <v>0</v>
      </c>
      <c r="G604" s="108">
        <f t="shared" si="51"/>
        <v>0</v>
      </c>
      <c r="H604" s="108">
        <f t="shared" si="51"/>
        <v>0</v>
      </c>
      <c r="I604" s="108">
        <f t="shared" si="51"/>
        <v>0</v>
      </c>
      <c r="J604" s="108">
        <f t="shared" si="51"/>
        <v>0</v>
      </c>
      <c r="K604" s="108">
        <f t="shared" si="51"/>
        <v>0</v>
      </c>
      <c r="L604" s="89">
        <f t="shared" si="51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2334519</v>
      </c>
      <c r="H607" s="109">
        <f>SUM(F44)</f>
        <v>2334519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24879</v>
      </c>
      <c r="H609" s="109">
        <f>SUM(H44)</f>
        <v>24879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16233</v>
      </c>
      <c r="H611" s="109">
        <f>SUM(J44)</f>
        <v>16233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55105</v>
      </c>
      <c r="H612" s="109">
        <f>F466</f>
        <v>55105</v>
      </c>
      <c r="I612" s="121" t="s">
        <v>106</v>
      </c>
      <c r="J612" s="109">
        <f t="shared" ref="J612:J645" si="52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52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-31022</v>
      </c>
      <c r="H614" s="109">
        <f>H466</f>
        <v>-31022</v>
      </c>
      <c r="I614" s="121" t="s">
        <v>110</v>
      </c>
      <c r="J614" s="109">
        <f t="shared" si="52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52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16233</v>
      </c>
      <c r="H616" s="109">
        <f>J466</f>
        <v>16233</v>
      </c>
      <c r="I616" s="140" t="s">
        <v>114</v>
      </c>
      <c r="J616" s="109">
        <f t="shared" si="52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2747403</v>
      </c>
      <c r="H617" s="104">
        <f>SUM(F458)</f>
        <v>2747403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0</v>
      </c>
      <c r="H618" s="104">
        <f>SUM(G458)</f>
        <v>0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52242</v>
      </c>
      <c r="H619" s="104">
        <f>SUM(H458)</f>
        <v>52242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220749</v>
      </c>
      <c r="H620" s="104">
        <f>SUM(I458)</f>
        <v>220749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129</v>
      </c>
      <c r="H621" s="104">
        <f>SUM(J458)</f>
        <v>129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2790957</v>
      </c>
      <c r="H622" s="104">
        <f>SUM(F462)</f>
        <v>2790957</v>
      </c>
      <c r="I622" s="140" t="s">
        <v>120</v>
      </c>
      <c r="J622" s="109">
        <f t="shared" si="52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83264</v>
      </c>
      <c r="H623" s="104">
        <f>SUM(H462)</f>
        <v>83264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0</v>
      </c>
      <c r="H625" s="104">
        <f>SUM(G462)</f>
        <v>0</v>
      </c>
      <c r="I625" s="140" t="s">
        <v>123</v>
      </c>
      <c r="J625" s="109">
        <f t="shared" si="52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220749</v>
      </c>
      <c r="H626" s="104">
        <f>SUM(I462)</f>
        <v>220749</v>
      </c>
      <c r="I626" s="140" t="s">
        <v>125</v>
      </c>
      <c r="J626" s="109">
        <f t="shared" si="52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129</v>
      </c>
      <c r="H627" s="164">
        <f>SUM(J458)</f>
        <v>129</v>
      </c>
      <c r="I627" s="165" t="s">
        <v>119</v>
      </c>
      <c r="J627" s="151">
        <f t="shared" si="52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52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2761</v>
      </c>
      <c r="H629" s="104">
        <f>SUM(F451)</f>
        <v>2761</v>
      </c>
      <c r="I629" s="140" t="s">
        <v>128</v>
      </c>
      <c r="J629" s="109">
        <f t="shared" si="52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52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13472</v>
      </c>
      <c r="H631" s="104">
        <f>SUM(H451)</f>
        <v>13472</v>
      </c>
      <c r="I631" s="140" t="s">
        <v>132</v>
      </c>
      <c r="J631" s="109">
        <f t="shared" si="52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16233</v>
      </c>
      <c r="H632" s="104">
        <f>SUM(I451)</f>
        <v>16233</v>
      </c>
      <c r="I632" s="140" t="s">
        <v>134</v>
      </c>
      <c r="J632" s="109">
        <f t="shared" si="52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52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129</v>
      </c>
      <c r="H634" s="104">
        <f>H400</f>
        <v>129</v>
      </c>
      <c r="I634" s="140" t="s">
        <v>504</v>
      </c>
      <c r="J634" s="109">
        <f t="shared" si="52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52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129</v>
      </c>
      <c r="H636" s="104">
        <f>L400</f>
        <v>129</v>
      </c>
      <c r="I636" s="140" t="s">
        <v>501</v>
      </c>
      <c r="J636" s="109">
        <f t="shared" si="52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188666</v>
      </c>
      <c r="H637" s="104">
        <f>L200+L218+L236</f>
        <v>188666</v>
      </c>
      <c r="I637" s="140" t="s">
        <v>420</v>
      </c>
      <c r="J637" s="109">
        <f t="shared" si="52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1835</v>
      </c>
      <c r="H638" s="104">
        <f>(J249+J330)-(J247+J328)</f>
        <v>1835</v>
      </c>
      <c r="I638" s="140" t="s">
        <v>734</v>
      </c>
      <c r="J638" s="109">
        <f t="shared" si="52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173841</v>
      </c>
      <c r="H639" s="104">
        <f>H588</f>
        <v>173841</v>
      </c>
      <c r="I639" s="140" t="s">
        <v>412</v>
      </c>
      <c r="J639" s="109">
        <f t="shared" si="52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52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14825</v>
      </c>
      <c r="H641" s="104">
        <f>J588</f>
        <v>14825</v>
      </c>
      <c r="I641" s="140" t="s">
        <v>414</v>
      </c>
      <c r="J641" s="109">
        <f t="shared" si="52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52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52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52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52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1852750</v>
      </c>
      <c r="G650" s="19">
        <f>(L221+L301+L351)</f>
        <v>0</v>
      </c>
      <c r="H650" s="19">
        <f>(L239+L320+L352)</f>
        <v>967460</v>
      </c>
      <c r="I650" s="19">
        <f>SUM(F650:H650)</f>
        <v>2820210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173841</v>
      </c>
      <c r="G652" s="19">
        <f>(L218+L298)-(J218+J298)</f>
        <v>0</v>
      </c>
      <c r="H652" s="19">
        <f>(L236+L317)-(J236+J317)</f>
        <v>14825</v>
      </c>
      <c r="I652" s="19">
        <f>SUM(F652:H652)</f>
        <v>188666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217945</v>
      </c>
      <c r="G653" s="200">
        <f>SUM(G565:G577)+SUM(I592:I594)+L602</f>
        <v>0</v>
      </c>
      <c r="H653" s="200">
        <f>SUM(H565:H577)+SUM(J592:J594)+L603</f>
        <v>952635</v>
      </c>
      <c r="I653" s="19">
        <f>SUM(F653:H653)</f>
        <v>1170580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1460964</v>
      </c>
      <c r="G654" s="19">
        <f>G650-SUM(G651:G653)</f>
        <v>0</v>
      </c>
      <c r="H654" s="19">
        <f>H650-SUM(H651:H653)</f>
        <v>0</v>
      </c>
      <c r="I654" s="19">
        <f>I650-SUM(I651:I653)</f>
        <v>1460964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107.68</v>
      </c>
      <c r="G655" s="249"/>
      <c r="H655" s="249"/>
      <c r="I655" s="19">
        <f>SUM(F655:H655)</f>
        <v>107.68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13567.64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13567.64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13567.64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13567.64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B6800-D32E-4368-A57B-9BAB0A299DBB}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Unity SD</v>
      </c>
      <c r="C1" s="239" t="s">
        <v>870</v>
      </c>
    </row>
    <row r="2" spans="1:3" x14ac:dyDescent="0.2">
      <c r="A2" s="234"/>
      <c r="B2" s="233"/>
    </row>
    <row r="3" spans="1:3" x14ac:dyDescent="0.2">
      <c r="A3" s="271" t="s">
        <v>815</v>
      </c>
      <c r="B3" s="271"/>
      <c r="C3" s="271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814</v>
      </c>
      <c r="C6" s="272"/>
    </row>
    <row r="7" spans="1:3" x14ac:dyDescent="0.2">
      <c r="A7" s="240" t="s">
        <v>817</v>
      </c>
      <c r="B7" s="273" t="s">
        <v>813</v>
      </c>
      <c r="C7" s="274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318222</v>
      </c>
      <c r="C9" s="230">
        <f>'DOE25'!G189+'DOE25'!G207+'DOE25'!G225+'DOE25'!G268+'DOE25'!G287+'DOE25'!G306</f>
        <v>166375</v>
      </c>
    </row>
    <row r="10" spans="1:3" x14ac:dyDescent="0.2">
      <c r="A10" t="s">
        <v>810</v>
      </c>
      <c r="B10" s="241">
        <f>300607</f>
        <v>300607</v>
      </c>
      <c r="C10" s="241">
        <v>155665</v>
      </c>
    </row>
    <row r="11" spans="1:3" x14ac:dyDescent="0.2">
      <c r="A11" t="s">
        <v>811</v>
      </c>
      <c r="B11" s="241">
        <f>1800+6380</f>
        <v>8180</v>
      </c>
      <c r="C11" s="241">
        <v>10254</v>
      </c>
    </row>
    <row r="12" spans="1:3" x14ac:dyDescent="0.2">
      <c r="A12" t="s">
        <v>812</v>
      </c>
      <c r="B12" s="241">
        <v>9435</v>
      </c>
      <c r="C12" s="241">
        <v>456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318222</v>
      </c>
      <c r="C13" s="232">
        <f>SUM(C10:C12)</f>
        <v>166375</v>
      </c>
    </row>
    <row r="14" spans="1:3" x14ac:dyDescent="0.2">
      <c r="B14" s="231"/>
      <c r="C14" s="231"/>
    </row>
    <row r="15" spans="1:3" x14ac:dyDescent="0.2">
      <c r="B15" s="272" t="s">
        <v>814</v>
      </c>
      <c r="C15" s="272"/>
    </row>
    <row r="16" spans="1:3" x14ac:dyDescent="0.2">
      <c r="A16" s="240" t="s">
        <v>818</v>
      </c>
      <c r="B16" s="273" t="s">
        <v>738</v>
      </c>
      <c r="C16" s="274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190801</v>
      </c>
      <c r="C18" s="230">
        <f>'DOE25'!G190+'DOE25'!G208+'DOE25'!G226+'DOE25'!G269+'DOE25'!G288+'DOE25'!G307</f>
        <v>99368</v>
      </c>
    </row>
    <row r="19" spans="1:3" x14ac:dyDescent="0.2">
      <c r="A19" t="s">
        <v>810</v>
      </c>
      <c r="B19" s="241">
        <f>82630+5746+645</f>
        <v>89021</v>
      </c>
      <c r="C19" s="241">
        <v>38559</v>
      </c>
    </row>
    <row r="20" spans="1:3" x14ac:dyDescent="0.2">
      <c r="A20" t="s">
        <v>811</v>
      </c>
      <c r="B20" s="241">
        <v>92115</v>
      </c>
      <c r="C20" s="241">
        <v>58745</v>
      </c>
    </row>
    <row r="21" spans="1:3" x14ac:dyDescent="0.2">
      <c r="A21" t="s">
        <v>812</v>
      </c>
      <c r="B21" s="241">
        <v>9665</v>
      </c>
      <c r="C21" s="241">
        <v>2064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190801</v>
      </c>
      <c r="C22" s="232">
        <f>SUM(C19:C21)</f>
        <v>99368</v>
      </c>
    </row>
    <row r="23" spans="1:3" x14ac:dyDescent="0.2">
      <c r="B23" s="231"/>
      <c r="C23" s="231"/>
    </row>
    <row r="24" spans="1:3" x14ac:dyDescent="0.2">
      <c r="B24" s="272" t="s">
        <v>814</v>
      </c>
      <c r="C24" s="272"/>
    </row>
    <row r="25" spans="1:3" x14ac:dyDescent="0.2">
      <c r="A25" s="240" t="s">
        <v>819</v>
      </c>
      <c r="B25" s="273" t="s">
        <v>739</v>
      </c>
      <c r="C25" s="274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814</v>
      </c>
      <c r="C33" s="272"/>
    </row>
    <row r="34" spans="1:3" x14ac:dyDescent="0.2">
      <c r="A34" s="240" t="s">
        <v>820</v>
      </c>
      <c r="B34" s="273" t="s">
        <v>740</v>
      </c>
      <c r="C34" s="274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825</v>
      </c>
      <c r="C36" s="236">
        <f>'DOE25'!G192+'DOE25'!G210+'DOE25'!G228+'DOE25'!G271+'DOE25'!G290+'DOE25'!G309</f>
        <v>60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825</v>
      </c>
      <c r="C39" s="241">
        <v>60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825</v>
      </c>
      <c r="C40" s="232">
        <f>SUM(C37:C39)</f>
        <v>60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6552-D273-4D5E-AE4B-5F6A82A4FC3B}">
  <sheetPr>
    <tabColor indexed="11"/>
  </sheetPr>
  <dimension ref="A1:I51"/>
  <sheetViews>
    <sheetView workbookViewId="0">
      <pane ySplit="4" topLeftCell="A5" activePane="bottomLeft" state="frozen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Unity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1954768</v>
      </c>
      <c r="D5" s="20">
        <f>SUM('DOE25'!L189:L192)+SUM('DOE25'!L207:L210)+SUM('DOE25'!L225:L228)-F5-G5</f>
        <v>1954469</v>
      </c>
      <c r="E5" s="244"/>
      <c r="F5" s="256">
        <f>SUM('DOE25'!J189:J192)+SUM('DOE25'!J207:J210)+SUM('DOE25'!J225:J228)</f>
        <v>299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832</v>
      </c>
      <c r="C6" s="246">
        <f t="shared" si="0"/>
        <v>38129</v>
      </c>
      <c r="D6" s="20">
        <f>'DOE25'!L194+'DOE25'!L212+'DOE25'!L230-F6-G6</f>
        <v>38129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36976</v>
      </c>
      <c r="D7" s="20">
        <f>'DOE25'!L195+'DOE25'!L213+'DOE25'!L231-F7-G7</f>
        <v>36976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95274</v>
      </c>
      <c r="D8" s="244"/>
      <c r="E8" s="20">
        <f>'DOE25'!L196+'DOE25'!L214+'DOE25'!L232-F8-G8-D9-D11</f>
        <v>92573</v>
      </c>
      <c r="F8" s="256">
        <f>'DOE25'!J196+'DOE25'!J214+'DOE25'!J232</f>
        <v>0</v>
      </c>
      <c r="G8" s="53">
        <f>'DOE25'!K196+'DOE25'!K214+'DOE25'!K232</f>
        <v>2701</v>
      </c>
      <c r="H8" s="260"/>
    </row>
    <row r="9" spans="1:9" x14ac:dyDescent="0.2">
      <c r="A9" s="32">
        <v>2310</v>
      </c>
      <c r="B9" t="s">
        <v>849</v>
      </c>
      <c r="C9" s="246">
        <f t="shared" si="0"/>
        <v>30475</v>
      </c>
      <c r="D9" s="245">
        <f>535+150+1545+1500+13699+7829+1333+125+1058+2701</f>
        <v>30475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7829</v>
      </c>
      <c r="D10" s="244"/>
      <c r="E10" s="245">
        <f>7829</f>
        <v>7829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28896</v>
      </c>
      <c r="D11" s="245">
        <f>20785+8111</f>
        <v>28896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139751</v>
      </c>
      <c r="D12" s="20">
        <f>'DOE25'!L197+'DOE25'!L215+'DOE25'!L233-F12-G12</f>
        <v>137614</v>
      </c>
      <c r="E12" s="244"/>
      <c r="F12" s="256">
        <f>'DOE25'!J197+'DOE25'!J215+'DOE25'!J233</f>
        <v>0</v>
      </c>
      <c r="G12" s="53">
        <f>'DOE25'!K197+'DOE25'!K215+'DOE25'!K233</f>
        <v>2137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224011</v>
      </c>
      <c r="D14" s="20">
        <f>'DOE25'!L199+'DOE25'!L217+'DOE25'!L235-F14-G14</f>
        <v>223138</v>
      </c>
      <c r="E14" s="244"/>
      <c r="F14" s="256">
        <f>'DOE25'!J199+'DOE25'!J217+'DOE25'!J235</f>
        <v>873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188666</v>
      </c>
      <c r="D15" s="20">
        <f>'DOE25'!L200+'DOE25'!L218+'DOE25'!L236-F15-G15</f>
        <v>188666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54011</v>
      </c>
      <c r="D25" s="244"/>
      <c r="E25" s="244"/>
      <c r="F25" s="259"/>
      <c r="G25" s="257"/>
      <c r="H25" s="258">
        <f>'DOE25'!L252+'DOE25'!L253+'DOE25'!L333+'DOE25'!L334</f>
        <v>54011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0</v>
      </c>
      <c r="D29" s="20">
        <f>'DOE25'!L350+'DOE25'!L351+'DOE25'!L352-'DOE25'!I359-F29-G29</f>
        <v>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83264</v>
      </c>
      <c r="D31" s="20">
        <f>'DOE25'!L282+'DOE25'!L301+'DOE25'!L320+'DOE25'!L325+'DOE25'!L326+'DOE25'!L327-F31-G31</f>
        <v>80543</v>
      </c>
      <c r="E31" s="244"/>
      <c r="F31" s="256">
        <f>'DOE25'!J282+'DOE25'!J301+'DOE25'!J320+'DOE25'!J325+'DOE25'!J326+'DOE25'!J327</f>
        <v>663</v>
      </c>
      <c r="G31" s="53">
        <f>'DOE25'!K282+'DOE25'!K301+'DOE25'!K320+'DOE25'!K325+'DOE25'!K326+'DOE25'!K327</f>
        <v>2058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2718906</v>
      </c>
      <c r="E33" s="247">
        <f>SUM(E5:E31)</f>
        <v>100402</v>
      </c>
      <c r="F33" s="247">
        <f>SUM(F5:F31)</f>
        <v>1835</v>
      </c>
      <c r="G33" s="247">
        <f>SUM(G5:G31)</f>
        <v>6896</v>
      </c>
      <c r="H33" s="247">
        <f>SUM(H5:H31)</f>
        <v>54011</v>
      </c>
    </row>
    <row r="35" spans="2:8" ht="12" thickBot="1" x14ac:dyDescent="0.25">
      <c r="B35" s="254" t="s">
        <v>878</v>
      </c>
      <c r="D35" s="255">
        <f>E33</f>
        <v>100402</v>
      </c>
      <c r="E35" s="250"/>
    </row>
    <row r="36" spans="2:8" ht="12" thickTop="1" x14ac:dyDescent="0.2">
      <c r="B36" t="s">
        <v>846</v>
      </c>
      <c r="D36" s="20">
        <f>D33</f>
        <v>2718906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F2584-CFA3-4D82-AC62-001158CA0F99}">
  <sheetPr transitionEvaluation="1" codeName="Sheet2">
    <tabColor indexed="10"/>
  </sheetPr>
  <dimension ref="A1:I156"/>
  <sheetViews>
    <sheetView zoomScale="75" workbookViewId="0">
      <pane ySplit="2" topLeftCell="A109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Unity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-51848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16233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2350000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24879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8134</v>
      </c>
      <c r="D13" s="95">
        <f>'DOE25'!G13</f>
        <v>0</v>
      </c>
      <c r="E13" s="95">
        <f>'DOE25'!H13</f>
        <v>24879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3354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2334519</v>
      </c>
      <c r="D19" s="41">
        <f>SUM(D9:D18)</f>
        <v>0</v>
      </c>
      <c r="E19" s="41">
        <f>SUM(E9:E18)</f>
        <v>24879</v>
      </c>
      <c r="F19" s="41">
        <f>SUM(F9:F18)</f>
        <v>0</v>
      </c>
      <c r="G19" s="41">
        <f>SUM(G9:G18)</f>
        <v>16233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2248228</v>
      </c>
      <c r="D22" s="95">
        <f>'DOE25'!G23</f>
        <v>0</v>
      </c>
      <c r="E22" s="95">
        <f>'DOE25'!H23</f>
        <v>55901</v>
      </c>
      <c r="F22" s="95">
        <f>'DOE25'!I23</f>
        <v>-2279251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31186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2279251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2279414</v>
      </c>
      <c r="D32" s="41">
        <f>SUM(D22:D31)</f>
        <v>0</v>
      </c>
      <c r="E32" s="41">
        <f>SUM(E22:E31)</f>
        <v>55901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20814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5045</v>
      </c>
      <c r="D40" s="95">
        <f>'DOE25'!G41</f>
        <v>0</v>
      </c>
      <c r="E40" s="95">
        <f>'DOE25'!H41</f>
        <v>-31022</v>
      </c>
      <c r="F40" s="95">
        <f>'DOE25'!I41</f>
        <v>0</v>
      </c>
      <c r="G40" s="95">
        <f>'DOE25'!J41</f>
        <v>16233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29246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55105</v>
      </c>
      <c r="D42" s="41">
        <f>SUM(D34:D41)</f>
        <v>0</v>
      </c>
      <c r="E42" s="41">
        <f>SUM(E34:E41)</f>
        <v>-31022</v>
      </c>
      <c r="F42" s="41">
        <f>SUM(F34:F41)</f>
        <v>0</v>
      </c>
      <c r="G42" s="41">
        <f>SUM(G34:G41)</f>
        <v>16233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2334519</v>
      </c>
      <c r="D43" s="41">
        <f>D42+D32</f>
        <v>0</v>
      </c>
      <c r="E43" s="41">
        <f>E42+E32</f>
        <v>24879</v>
      </c>
      <c r="F43" s="41">
        <f>F42+F32</f>
        <v>0</v>
      </c>
      <c r="G43" s="41">
        <f>G42+G32</f>
        <v>16233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1458728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1568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129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1568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129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1460296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129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811472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311529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29432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24879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1152433</v>
      </c>
      <c r="D62" s="139">
        <f>D61</f>
        <v>0</v>
      </c>
      <c r="E62" s="139">
        <f>E61</f>
        <v>24879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115010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115010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1267443</v>
      </c>
      <c r="D73" s="130">
        <f>SUM(D71:D72)+D70+D62</f>
        <v>0</v>
      </c>
      <c r="E73" s="130">
        <f>SUM(E71:E72)+E70+E62</f>
        <v>24879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19664</v>
      </c>
      <c r="D80" s="95">
        <f>SUM('DOE25'!G145:G153)</f>
        <v>0</v>
      </c>
      <c r="E80" s="95">
        <f>SUM('DOE25'!H145:H153)</f>
        <v>27363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19664</v>
      </c>
      <c r="D83" s="131">
        <f>SUM(D77:D82)</f>
        <v>0</v>
      </c>
      <c r="E83" s="131">
        <f>SUM(E77:E82)</f>
        <v>27363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220749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220749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2747403</v>
      </c>
      <c r="D96" s="86">
        <f>D55+D73+D83+D95</f>
        <v>0</v>
      </c>
      <c r="E96" s="86">
        <f>E55+E73+E83+E95</f>
        <v>52242</v>
      </c>
      <c r="F96" s="86">
        <f>F55+F73+F83+F95</f>
        <v>220749</v>
      </c>
      <c r="G96" s="86">
        <f>G55+G73+G95</f>
        <v>129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1281545</v>
      </c>
      <c r="D101" s="24" t="s">
        <v>312</v>
      </c>
      <c r="E101" s="95">
        <f>('DOE25'!L268)+('DOE25'!L287)+('DOE25'!L306)</f>
        <v>27706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669570</v>
      </c>
      <c r="D102" s="24" t="s">
        <v>312</v>
      </c>
      <c r="E102" s="95">
        <f>('DOE25'!L269)+('DOE25'!L288)+('DOE25'!L307)</f>
        <v>36447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3653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1954768</v>
      </c>
      <c r="D107" s="86">
        <f>SUM(D101:D106)</f>
        <v>0</v>
      </c>
      <c r="E107" s="86">
        <f>SUM(E101:E106)</f>
        <v>64153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38129</v>
      </c>
      <c r="D110" s="24" t="s">
        <v>312</v>
      </c>
      <c r="E110" s="95">
        <f>+('DOE25'!L273)+('DOE25'!L292)+('DOE25'!L311)</f>
        <v>18162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36976</v>
      </c>
      <c r="D111" s="24" t="s">
        <v>312</v>
      </c>
      <c r="E111" s="95">
        <f>+('DOE25'!L274)+('DOE25'!L293)+('DOE25'!L312)</f>
        <v>949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154645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139751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224011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188666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0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782178</v>
      </c>
      <c r="D120" s="86">
        <f>SUM(D110:D119)</f>
        <v>0</v>
      </c>
      <c r="E120" s="86">
        <f>SUM(E110:E119)</f>
        <v>19111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220749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20077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33934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129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-129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54011</v>
      </c>
      <c r="D136" s="141">
        <f>SUM(D122:D135)</f>
        <v>0</v>
      </c>
      <c r="E136" s="141">
        <f>SUM(E122:E135)</f>
        <v>0</v>
      </c>
      <c r="F136" s="141">
        <f>SUM(F122:F135)</f>
        <v>220749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2790957</v>
      </c>
      <c r="D137" s="86">
        <f>(D107+D120+D136)</f>
        <v>0</v>
      </c>
      <c r="E137" s="86">
        <f>(E107+E120+E136)</f>
        <v>83264</v>
      </c>
      <c r="F137" s="86">
        <f>(F107+F120+F136)</f>
        <v>220749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07/02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07/12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180000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4.5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62430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62430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20053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20053</v>
      </c>
    </row>
    <row r="151" spans="1:7" x14ac:dyDescent="0.2">
      <c r="A151" s="22" t="s">
        <v>35</v>
      </c>
      <c r="B151" s="137">
        <f>'DOE25'!F488</f>
        <v>42377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42377</v>
      </c>
    </row>
    <row r="152" spans="1:7" x14ac:dyDescent="0.2">
      <c r="A152" s="22" t="s">
        <v>36</v>
      </c>
      <c r="B152" s="137">
        <f>'DOE25'!F489</f>
        <v>2845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2845</v>
      </c>
    </row>
    <row r="153" spans="1:7" x14ac:dyDescent="0.2">
      <c r="A153" s="22" t="s">
        <v>37</v>
      </c>
      <c r="B153" s="137">
        <f>'DOE25'!F490</f>
        <v>45222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45222</v>
      </c>
    </row>
    <row r="154" spans="1:7" x14ac:dyDescent="0.2">
      <c r="A154" s="22" t="s">
        <v>38</v>
      </c>
      <c r="B154" s="137">
        <f>'DOE25'!F491</f>
        <v>20955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20955</v>
      </c>
    </row>
    <row r="155" spans="1:7" x14ac:dyDescent="0.2">
      <c r="A155" s="22" t="s">
        <v>39</v>
      </c>
      <c r="B155" s="137">
        <f>'DOE25'!F492</f>
        <v>1880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1880</v>
      </c>
    </row>
    <row r="156" spans="1:7" x14ac:dyDescent="0.2">
      <c r="A156" s="22" t="s">
        <v>269</v>
      </c>
      <c r="B156" s="137">
        <f>'DOE25'!F493</f>
        <v>22835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22835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68DE7-3D37-47EF-A4F2-B922800A74F1}">
  <sheetPr codeName="Sheet3">
    <tabColor indexed="43"/>
  </sheetPr>
  <dimension ref="A1:D42"/>
  <sheetViews>
    <sheetView workbookViewId="0">
      <selection activeCell="C32" sqref="C3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Unity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13568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13568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1309251</v>
      </c>
      <c r="D10" s="182">
        <f>ROUND((C10/$C$28)*100,1)</f>
        <v>45.9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706017</v>
      </c>
      <c r="D11" s="182">
        <f>ROUND((C11/$C$28)*100,1)</f>
        <v>24.7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3653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56291</v>
      </c>
      <c r="D15" s="182">
        <f t="shared" ref="D15:D27" si="0">ROUND((C15/$C$28)*100,1)</f>
        <v>2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37925</v>
      </c>
      <c r="D16" s="182">
        <f t="shared" si="0"/>
        <v>1.3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154645</v>
      </c>
      <c r="D17" s="182">
        <f t="shared" si="0"/>
        <v>5.4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139751</v>
      </c>
      <c r="D18" s="182">
        <f t="shared" si="0"/>
        <v>4.9000000000000004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224011</v>
      </c>
      <c r="D20" s="182">
        <f t="shared" si="0"/>
        <v>7.8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188666</v>
      </c>
      <c r="D21" s="182">
        <f t="shared" si="0"/>
        <v>6.6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33934</v>
      </c>
      <c r="D25" s="182">
        <f t="shared" si="0"/>
        <v>1.2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0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2854144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220749</v>
      </c>
    </row>
    <row r="30" spans="1:4" x14ac:dyDescent="0.2">
      <c r="B30" s="187" t="s">
        <v>760</v>
      </c>
      <c r="C30" s="180">
        <f>SUM(C28:C29)</f>
        <v>3074893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20077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1458728</v>
      </c>
      <c r="D35" s="182">
        <f t="shared" ref="D35:D40" si="1">ROUND((C35/$C$41)*100,1)</f>
        <v>52.1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1697</v>
      </c>
      <c r="D36" s="182">
        <f t="shared" si="1"/>
        <v>0.1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1152433</v>
      </c>
      <c r="D37" s="182">
        <f t="shared" si="1"/>
        <v>41.2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139889</v>
      </c>
      <c r="D38" s="182">
        <f t="shared" si="1"/>
        <v>5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47027</v>
      </c>
      <c r="D39" s="182">
        <f t="shared" si="1"/>
        <v>1.7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2799774</v>
      </c>
      <c r="D41" s="184">
        <f>SUM(D35:D40)</f>
        <v>100.10000000000001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220749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BAB8-875F-457F-ABA5-DE70E80E90FC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Unity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2011-08-17T12:40:38Z</cp:lastPrinted>
  <dcterms:created xsi:type="dcterms:W3CDTF">1997-12-04T19:04:30Z</dcterms:created>
  <dcterms:modified xsi:type="dcterms:W3CDTF">2025-01-10T20:26:20Z</dcterms:modified>
</cp:coreProperties>
</file>