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04BC7353-B945-43F0-A734-EAAA578277D9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B50ECC77-663D-488B-B37E-FF0217FD7FFF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2" l="1"/>
  <c r="D11" i="13"/>
  <c r="C38" i="12"/>
  <c r="F569" i="1"/>
  <c r="C12" i="12"/>
  <c r="C13" i="12"/>
  <c r="H52" i="1"/>
  <c r="H71" i="1"/>
  <c r="H86" i="1"/>
  <c r="H103" i="1"/>
  <c r="H104" i="1"/>
  <c r="H113" i="1"/>
  <c r="H128" i="1"/>
  <c r="H132" i="1"/>
  <c r="H139" i="1"/>
  <c r="H146" i="1"/>
  <c r="H147" i="1"/>
  <c r="H154" i="1"/>
  <c r="H161" i="1"/>
  <c r="H175" i="1"/>
  <c r="H180" i="1"/>
  <c r="H184" i="1"/>
  <c r="H185" i="1"/>
  <c r="H458" i="1"/>
  <c r="G601" i="1"/>
  <c r="G25" i="1"/>
  <c r="G23" i="1"/>
  <c r="G533" i="1"/>
  <c r="G531" i="1"/>
  <c r="G512" i="1"/>
  <c r="H512" i="1"/>
  <c r="I512" i="1"/>
  <c r="J512" i="1"/>
  <c r="K512" i="1"/>
  <c r="G513" i="1"/>
  <c r="I513" i="1"/>
  <c r="J513" i="1"/>
  <c r="K513" i="1"/>
  <c r="F513" i="1"/>
  <c r="F512" i="1"/>
  <c r="K511" i="1"/>
  <c r="G492" i="1"/>
  <c r="G489" i="1"/>
  <c r="F492" i="1"/>
  <c r="F489" i="1"/>
  <c r="F485" i="1"/>
  <c r="G14" i="1"/>
  <c r="H384" i="1"/>
  <c r="G384" i="1"/>
  <c r="J588" i="1"/>
  <c r="H641" i="1"/>
  <c r="H513" i="1"/>
  <c r="L513" i="1"/>
  <c r="F541" i="1"/>
  <c r="J511" i="1"/>
  <c r="J514" i="1"/>
  <c r="J519" i="1"/>
  <c r="J524" i="1"/>
  <c r="J529" i="1"/>
  <c r="J534" i="1"/>
  <c r="J535" i="1"/>
  <c r="I511" i="1"/>
  <c r="I514" i="1"/>
  <c r="I519" i="1"/>
  <c r="I524" i="1"/>
  <c r="I529" i="1"/>
  <c r="I534" i="1"/>
  <c r="I535" i="1"/>
  <c r="H511" i="1"/>
  <c r="H514" i="1"/>
  <c r="H519" i="1"/>
  <c r="H524" i="1"/>
  <c r="H529" i="1"/>
  <c r="H534" i="1"/>
  <c r="H535" i="1"/>
  <c r="F511" i="1"/>
  <c r="H354" i="1"/>
  <c r="F88" i="1"/>
  <c r="F75" i="1"/>
  <c r="F55" i="1"/>
  <c r="F42" i="1"/>
  <c r="F30" i="1"/>
  <c r="F25" i="1"/>
  <c r="F12" i="1"/>
  <c r="F9" i="1"/>
  <c r="C37" i="10"/>
  <c r="C60" i="2"/>
  <c r="B2" i="13"/>
  <c r="F8" i="13"/>
  <c r="G8" i="13"/>
  <c r="L196" i="1"/>
  <c r="L214" i="1"/>
  <c r="L232" i="1"/>
  <c r="E8" i="13"/>
  <c r="C8" i="13"/>
  <c r="D39" i="13"/>
  <c r="F13" i="13"/>
  <c r="G13" i="13"/>
  <c r="L198" i="1"/>
  <c r="L216" i="1"/>
  <c r="L234" i="1"/>
  <c r="F16" i="13"/>
  <c r="G16" i="13"/>
  <c r="L219" i="1"/>
  <c r="L237" i="1"/>
  <c r="F5" i="13"/>
  <c r="G5" i="13"/>
  <c r="L191" i="1"/>
  <c r="L207" i="1"/>
  <c r="L208" i="1"/>
  <c r="L209" i="1"/>
  <c r="L210" i="1"/>
  <c r="L225" i="1"/>
  <c r="L226" i="1"/>
  <c r="L227" i="1"/>
  <c r="L228" i="1"/>
  <c r="F6" i="13"/>
  <c r="G6" i="13"/>
  <c r="L212" i="1"/>
  <c r="L230" i="1"/>
  <c r="F7" i="13"/>
  <c r="G7" i="13"/>
  <c r="L213" i="1"/>
  <c r="L231" i="1"/>
  <c r="F12" i="13"/>
  <c r="G12" i="13"/>
  <c r="L215" i="1"/>
  <c r="L233" i="1"/>
  <c r="F14" i="13"/>
  <c r="G14" i="13"/>
  <c r="L217" i="1"/>
  <c r="L235" i="1"/>
  <c r="F15" i="13"/>
  <c r="G15" i="13"/>
  <c r="L218" i="1"/>
  <c r="F17" i="13"/>
  <c r="G17" i="13"/>
  <c r="L243" i="1"/>
  <c r="F18" i="13"/>
  <c r="G18" i="13"/>
  <c r="L244" i="1"/>
  <c r="D18" i="13"/>
  <c r="C18" i="13"/>
  <c r="F19" i="13"/>
  <c r="G19" i="13"/>
  <c r="L245" i="1"/>
  <c r="G29" i="13"/>
  <c r="L351" i="1"/>
  <c r="L352" i="1"/>
  <c r="J282" i="1"/>
  <c r="J301" i="1"/>
  <c r="J320" i="1"/>
  <c r="K301" i="1"/>
  <c r="K320" i="1"/>
  <c r="L270" i="1"/>
  <c r="L271" i="1"/>
  <c r="L273" i="1"/>
  <c r="L274" i="1"/>
  <c r="L293" i="1"/>
  <c r="L312" i="1"/>
  <c r="E111" i="2"/>
  <c r="L292" i="1"/>
  <c r="L311" i="1"/>
  <c r="E110" i="2"/>
  <c r="L275" i="1"/>
  <c r="L294" i="1"/>
  <c r="L313" i="1"/>
  <c r="E112" i="2"/>
  <c r="L276" i="1"/>
  <c r="L295" i="1"/>
  <c r="L314" i="1"/>
  <c r="E113" i="2"/>
  <c r="L277" i="1"/>
  <c r="L296" i="1"/>
  <c r="L315" i="1"/>
  <c r="E114" i="2"/>
  <c r="L278" i="1"/>
  <c r="L297" i="1"/>
  <c r="L316" i="1"/>
  <c r="E115" i="2"/>
  <c r="L279" i="1"/>
  <c r="L298" i="1"/>
  <c r="L317" i="1"/>
  <c r="E116" i="2"/>
  <c r="L280" i="1"/>
  <c r="L299" i="1"/>
  <c r="L318" i="1"/>
  <c r="E117" i="2"/>
  <c r="E120" i="2"/>
  <c r="L287" i="1"/>
  <c r="L288" i="1"/>
  <c r="L289" i="1"/>
  <c r="L290" i="1"/>
  <c r="L306" i="1"/>
  <c r="L307" i="1"/>
  <c r="L308" i="1"/>
  <c r="L309" i="1"/>
  <c r="L320" i="1"/>
  <c r="L325" i="1"/>
  <c r="L326" i="1"/>
  <c r="L327" i="1"/>
  <c r="L252" i="1"/>
  <c r="L253" i="1"/>
  <c r="L333" i="1"/>
  <c r="L334" i="1"/>
  <c r="L247" i="1"/>
  <c r="L328" i="1"/>
  <c r="F22" i="13"/>
  <c r="C22" i="13"/>
  <c r="C10" i="13"/>
  <c r="C9" i="13"/>
  <c r="L353" i="1"/>
  <c r="B4" i="12"/>
  <c r="B36" i="12"/>
  <c r="B40" i="12"/>
  <c r="C40" i="12"/>
  <c r="B27" i="12"/>
  <c r="C27" i="12"/>
  <c r="C31" i="12"/>
  <c r="B18" i="12"/>
  <c r="B22" i="12"/>
  <c r="C22" i="12"/>
  <c r="B1" i="12"/>
  <c r="L379" i="1"/>
  <c r="L380" i="1"/>
  <c r="L381" i="1"/>
  <c r="L382" i="1"/>
  <c r="L383" i="1"/>
  <c r="L384" i="1"/>
  <c r="L387" i="1"/>
  <c r="L388" i="1"/>
  <c r="L389" i="1"/>
  <c r="L390" i="1"/>
  <c r="L391" i="1"/>
  <c r="L392" i="1"/>
  <c r="L395" i="1"/>
  <c r="L396" i="1"/>
  <c r="L397" i="1"/>
  <c r="L398" i="1"/>
  <c r="L258" i="1"/>
  <c r="J52" i="1"/>
  <c r="G48" i="2"/>
  <c r="G51" i="2"/>
  <c r="G53" i="2"/>
  <c r="G54" i="2"/>
  <c r="F2" i="11"/>
  <c r="L603" i="1"/>
  <c r="H653" i="1"/>
  <c r="L602" i="1"/>
  <c r="G653" i="1"/>
  <c r="C40" i="10"/>
  <c r="G52" i="1"/>
  <c r="I52" i="1"/>
  <c r="F71" i="1"/>
  <c r="F86" i="1"/>
  <c r="F103" i="1"/>
  <c r="G103" i="1"/>
  <c r="I103" i="1"/>
  <c r="J103" i="1"/>
  <c r="J104" i="1"/>
  <c r="F113" i="1"/>
  <c r="F128" i="1"/>
  <c r="G113" i="1"/>
  <c r="G128" i="1"/>
  <c r="I113" i="1"/>
  <c r="I128" i="1"/>
  <c r="I132" i="1"/>
  <c r="J113" i="1"/>
  <c r="J128" i="1"/>
  <c r="J132" i="1"/>
  <c r="F139" i="1"/>
  <c r="F154" i="1"/>
  <c r="F161" i="1"/>
  <c r="G139" i="1"/>
  <c r="G154" i="1"/>
  <c r="G161" i="1"/>
  <c r="I139" i="1"/>
  <c r="I154" i="1"/>
  <c r="I161" i="1"/>
  <c r="L242" i="1"/>
  <c r="C105" i="2"/>
  <c r="L324" i="1"/>
  <c r="L246" i="1"/>
  <c r="C24" i="10"/>
  <c r="C25" i="10"/>
  <c r="L260" i="1"/>
  <c r="C134" i="2"/>
  <c r="L261" i="1"/>
  <c r="L341" i="1"/>
  <c r="L342" i="1"/>
  <c r="C26" i="10"/>
  <c r="I655" i="1"/>
  <c r="I660" i="1"/>
  <c r="I659" i="1"/>
  <c r="C6" i="10"/>
  <c r="C5" i="10"/>
  <c r="C42" i="10"/>
  <c r="L366" i="1"/>
  <c r="L367" i="1"/>
  <c r="L368" i="1"/>
  <c r="L369" i="1"/>
  <c r="L370" i="1"/>
  <c r="L371" i="1"/>
  <c r="L372" i="1"/>
  <c r="B2" i="10"/>
  <c r="L336" i="1"/>
  <c r="L337" i="1"/>
  <c r="L338" i="1"/>
  <c r="L339" i="1"/>
  <c r="L343" i="1"/>
  <c r="K343" i="1"/>
  <c r="L512" i="1"/>
  <c r="F540" i="1"/>
  <c r="L516" i="1"/>
  <c r="G539" i="1"/>
  <c r="L517" i="1"/>
  <c r="G540" i="1"/>
  <c r="L518" i="1"/>
  <c r="G541" i="1"/>
  <c r="G542" i="1"/>
  <c r="L521" i="1"/>
  <c r="H539" i="1"/>
  <c r="L522" i="1"/>
  <c r="H540" i="1"/>
  <c r="L523" i="1"/>
  <c r="H541" i="1"/>
  <c r="H542" i="1"/>
  <c r="L526" i="1"/>
  <c r="I539" i="1"/>
  <c r="L527" i="1"/>
  <c r="I540" i="1"/>
  <c r="L528" i="1"/>
  <c r="I541" i="1"/>
  <c r="L532" i="1"/>
  <c r="J540" i="1"/>
  <c r="E124" i="2"/>
  <c r="E123" i="2"/>
  <c r="K262" i="1"/>
  <c r="J262" i="1"/>
  <c r="I262" i="1"/>
  <c r="H262" i="1"/>
  <c r="G262" i="1"/>
  <c r="F262" i="1"/>
  <c r="L262" i="1"/>
  <c r="C124" i="2"/>
  <c r="C123" i="2"/>
  <c r="A1" i="2"/>
  <c r="A2" i="2"/>
  <c r="C9" i="2"/>
  <c r="D9" i="2"/>
  <c r="E9" i="2"/>
  <c r="F9" i="2"/>
  <c r="I431" i="1"/>
  <c r="J9" i="1"/>
  <c r="C10" i="2"/>
  <c r="D10" i="2"/>
  <c r="E10" i="2"/>
  <c r="F10" i="2"/>
  <c r="I432" i="1"/>
  <c r="C11" i="2"/>
  <c r="C12" i="2"/>
  <c r="D12" i="2"/>
  <c r="E12" i="2"/>
  <c r="F12" i="2"/>
  <c r="I433" i="1"/>
  <c r="J12" i="1"/>
  <c r="G12" i="2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/>
  <c r="F15" i="2"/>
  <c r="C16" i="2"/>
  <c r="D16" i="2"/>
  <c r="E16" i="2"/>
  <c r="E17" i="2"/>
  <c r="E18" i="2"/>
  <c r="E19" i="2"/>
  <c r="F16" i="2"/>
  <c r="C17" i="2"/>
  <c r="D17" i="2"/>
  <c r="F17" i="2"/>
  <c r="I436" i="1"/>
  <c r="J17" i="1"/>
  <c r="G17" i="2"/>
  <c r="C18" i="2"/>
  <c r="D18" i="2"/>
  <c r="F18" i="2"/>
  <c r="I437" i="1"/>
  <c r="J18" i="1"/>
  <c r="G18" i="2"/>
  <c r="C22" i="2"/>
  <c r="D22" i="2"/>
  <c r="E22" i="2"/>
  <c r="F22" i="2"/>
  <c r="I440" i="1"/>
  <c r="J23" i="1"/>
  <c r="C23" i="2"/>
  <c r="D23" i="2"/>
  <c r="E23" i="2"/>
  <c r="F23" i="2"/>
  <c r="I441" i="1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D32" i="2"/>
  <c r="E31" i="2"/>
  <c r="F31" i="2"/>
  <c r="I443" i="1"/>
  <c r="J32" i="1"/>
  <c r="G31" i="2"/>
  <c r="F32" i="2"/>
  <c r="C34" i="2"/>
  <c r="D34" i="2"/>
  <c r="E34" i="2"/>
  <c r="F34" i="2"/>
  <c r="C35" i="2"/>
  <c r="D35" i="2"/>
  <c r="E35" i="2"/>
  <c r="F35" i="2"/>
  <c r="C36" i="2"/>
  <c r="D36" i="2"/>
  <c r="E36" i="2"/>
  <c r="F36" i="2"/>
  <c r="I446" i="1"/>
  <c r="C37" i="2"/>
  <c r="D37" i="2"/>
  <c r="E37" i="2"/>
  <c r="F37" i="2"/>
  <c r="I447" i="1"/>
  <c r="J38" i="1"/>
  <c r="G37" i="2"/>
  <c r="C38" i="2"/>
  <c r="D38" i="2"/>
  <c r="E38" i="2"/>
  <c r="F38" i="2"/>
  <c r="I448" i="1"/>
  <c r="J40" i="1"/>
  <c r="C40" i="2"/>
  <c r="D40" i="2"/>
  <c r="E40" i="2"/>
  <c r="F40" i="2"/>
  <c r="I449" i="1"/>
  <c r="J41" i="1"/>
  <c r="G40" i="2"/>
  <c r="C41" i="2"/>
  <c r="D41" i="2"/>
  <c r="E41" i="2"/>
  <c r="F41" i="2"/>
  <c r="C42" i="2"/>
  <c r="E48" i="2"/>
  <c r="C49" i="2"/>
  <c r="C50" i="2"/>
  <c r="E50" i="2"/>
  <c r="C51" i="2"/>
  <c r="D51" i="2"/>
  <c r="E51" i="2"/>
  <c r="F51" i="2"/>
  <c r="D52" i="2"/>
  <c r="C53" i="2"/>
  <c r="D53" i="2"/>
  <c r="E53" i="2"/>
  <c r="F53" i="2"/>
  <c r="F54" i="2"/>
  <c r="C58" i="2"/>
  <c r="C59" i="2"/>
  <c r="C61" i="2"/>
  <c r="D61" i="2"/>
  <c r="D62" i="2"/>
  <c r="E61" i="2"/>
  <c r="F61" i="2"/>
  <c r="F62" i="2"/>
  <c r="G61" i="2"/>
  <c r="G62" i="2"/>
  <c r="E62" i="2"/>
  <c r="C64" i="2"/>
  <c r="F64" i="2"/>
  <c r="C65" i="2"/>
  <c r="F65" i="2"/>
  <c r="C66" i="2"/>
  <c r="C67" i="2"/>
  <c r="C68" i="2"/>
  <c r="E68" i="2"/>
  <c r="F68" i="2"/>
  <c r="C69" i="2"/>
  <c r="D69" i="2"/>
  <c r="E69" i="2"/>
  <c r="F69" i="2"/>
  <c r="F70" i="2"/>
  <c r="F73" i="2"/>
  <c r="G69" i="2"/>
  <c r="G70" i="2"/>
  <c r="D70" i="2"/>
  <c r="C71" i="2"/>
  <c r="D71" i="2"/>
  <c r="E71" i="2"/>
  <c r="C72" i="2"/>
  <c r="E72" i="2"/>
  <c r="C77" i="2"/>
  <c r="D77" i="2"/>
  <c r="E77" i="2"/>
  <c r="F77" i="2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C85" i="2"/>
  <c r="F85" i="2"/>
  <c r="C86" i="2"/>
  <c r="F86" i="2"/>
  <c r="D88" i="2"/>
  <c r="E88" i="2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3" i="2"/>
  <c r="E104" i="2"/>
  <c r="E105" i="2"/>
  <c r="C106" i="2"/>
  <c r="E106" i="2"/>
  <c r="D107" i="2"/>
  <c r="F107" i="2"/>
  <c r="G107" i="2"/>
  <c r="C112" i="2"/>
  <c r="C114" i="2"/>
  <c r="F120" i="2"/>
  <c r="G120" i="2"/>
  <c r="C122" i="2"/>
  <c r="E122" i="2"/>
  <c r="F122" i="2"/>
  <c r="F126" i="2"/>
  <c r="F136" i="2"/>
  <c r="F137" i="2"/>
  <c r="D126" i="2"/>
  <c r="E126" i="2"/>
  <c r="K411" i="1"/>
  <c r="K419" i="1"/>
  <c r="K425" i="1"/>
  <c r="L255" i="1"/>
  <c r="C127" i="2"/>
  <c r="E127" i="2"/>
  <c r="L256" i="1"/>
  <c r="C128" i="2"/>
  <c r="L257" i="1"/>
  <c r="C129" i="2"/>
  <c r="E129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F490" i="1"/>
  <c r="B153" i="2"/>
  <c r="G490" i="1"/>
  <c r="C153" i="2"/>
  <c r="H490" i="1"/>
  <c r="D153" i="2"/>
  <c r="I490" i="1"/>
  <c r="E153" i="2"/>
  <c r="J490" i="1"/>
  <c r="F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F493" i="1"/>
  <c r="B156" i="2"/>
  <c r="G493" i="1"/>
  <c r="C156" i="2"/>
  <c r="H493" i="1"/>
  <c r="D156" i="2"/>
  <c r="I493" i="1"/>
  <c r="E156" i="2"/>
  <c r="J493" i="1"/>
  <c r="F156" i="2"/>
  <c r="F19" i="1"/>
  <c r="G607" i="1"/>
  <c r="G19" i="1"/>
  <c r="H19" i="1"/>
  <c r="G609" i="1"/>
  <c r="I19" i="1"/>
  <c r="F33" i="1"/>
  <c r="G33" i="1"/>
  <c r="G43" i="1"/>
  <c r="G44" i="1"/>
  <c r="H608" i="1"/>
  <c r="H33" i="1"/>
  <c r="I33" i="1"/>
  <c r="F43" i="1"/>
  <c r="H43" i="1"/>
  <c r="H44" i="1"/>
  <c r="H609" i="1"/>
  <c r="I43" i="1"/>
  <c r="I44" i="1"/>
  <c r="H610" i="1"/>
  <c r="F169" i="1"/>
  <c r="I169" i="1"/>
  <c r="F175" i="1"/>
  <c r="G175" i="1"/>
  <c r="G180" i="1"/>
  <c r="G184" i="1"/>
  <c r="I175" i="1"/>
  <c r="J175" i="1"/>
  <c r="F180" i="1"/>
  <c r="I180" i="1"/>
  <c r="I184" i="1"/>
  <c r="F203" i="1"/>
  <c r="I203" i="1"/>
  <c r="J203" i="1"/>
  <c r="K203" i="1"/>
  <c r="F221" i="1"/>
  <c r="G221" i="1"/>
  <c r="H221" i="1"/>
  <c r="I221" i="1"/>
  <c r="J221" i="1"/>
  <c r="K221" i="1"/>
  <c r="F239" i="1"/>
  <c r="I239" i="1"/>
  <c r="J239" i="1"/>
  <c r="H594" i="1"/>
  <c r="K239" i="1"/>
  <c r="F248" i="1"/>
  <c r="G248" i="1"/>
  <c r="H248" i="1"/>
  <c r="I248" i="1"/>
  <c r="J248" i="1"/>
  <c r="K248" i="1"/>
  <c r="F282" i="1"/>
  <c r="G282" i="1"/>
  <c r="H282" i="1"/>
  <c r="H301" i="1"/>
  <c r="H320" i="1"/>
  <c r="H329" i="1"/>
  <c r="H330" i="1"/>
  <c r="H344" i="1"/>
  <c r="I282" i="1"/>
  <c r="F301" i="1"/>
  <c r="G301" i="1"/>
  <c r="I301" i="1"/>
  <c r="F320" i="1"/>
  <c r="G320" i="1"/>
  <c r="I320" i="1"/>
  <c r="F329" i="1"/>
  <c r="G329" i="1"/>
  <c r="I329" i="1"/>
  <c r="J329" i="1"/>
  <c r="K329" i="1"/>
  <c r="F330" i="1"/>
  <c r="F344" i="1"/>
  <c r="J330" i="1"/>
  <c r="J344" i="1"/>
  <c r="K354" i="1"/>
  <c r="G361" i="1"/>
  <c r="H361" i="1"/>
  <c r="L373" i="1"/>
  <c r="F374" i="1"/>
  <c r="G374" i="1"/>
  <c r="H374" i="1"/>
  <c r="I374" i="1"/>
  <c r="J374" i="1"/>
  <c r="K374" i="1"/>
  <c r="L374" i="1"/>
  <c r="F385" i="1"/>
  <c r="G385" i="1"/>
  <c r="H385" i="1"/>
  <c r="I385" i="1"/>
  <c r="F393" i="1"/>
  <c r="G393" i="1"/>
  <c r="H393" i="1"/>
  <c r="I393" i="1"/>
  <c r="F399" i="1"/>
  <c r="G399" i="1"/>
  <c r="H399" i="1"/>
  <c r="I399" i="1"/>
  <c r="F400" i="1"/>
  <c r="G400" i="1"/>
  <c r="H400" i="1"/>
  <c r="I400" i="1"/>
  <c r="L405" i="1"/>
  <c r="L406" i="1"/>
  <c r="L407" i="1"/>
  <c r="L408" i="1"/>
  <c r="L409" i="1"/>
  <c r="L410" i="1"/>
  <c r="F411" i="1"/>
  <c r="F419" i="1"/>
  <c r="F425" i="1"/>
  <c r="F426" i="1"/>
  <c r="G411" i="1"/>
  <c r="H411" i="1"/>
  <c r="I411" i="1"/>
  <c r="J411" i="1"/>
  <c r="J419" i="1"/>
  <c r="J425" i="1"/>
  <c r="J426" i="1"/>
  <c r="L413" i="1"/>
  <c r="L414" i="1"/>
  <c r="L415" i="1"/>
  <c r="L416" i="1"/>
  <c r="L417" i="1"/>
  <c r="L418" i="1"/>
  <c r="G419" i="1"/>
  <c r="H419" i="1"/>
  <c r="H425" i="1"/>
  <c r="H426" i="1"/>
  <c r="I419" i="1"/>
  <c r="L421" i="1"/>
  <c r="L422" i="1"/>
  <c r="L423" i="1"/>
  <c r="L424" i="1"/>
  <c r="L425" i="1"/>
  <c r="G425" i="1"/>
  <c r="I425" i="1"/>
  <c r="G426" i="1"/>
  <c r="F438" i="1"/>
  <c r="G629" i="1"/>
  <c r="G438" i="1"/>
  <c r="H438" i="1"/>
  <c r="G631" i="1"/>
  <c r="F444" i="1"/>
  <c r="G444" i="1"/>
  <c r="H444" i="1"/>
  <c r="F450" i="1"/>
  <c r="F451" i="1"/>
  <c r="H629" i="1"/>
  <c r="G450" i="1"/>
  <c r="H450" i="1"/>
  <c r="H451" i="1"/>
  <c r="H631" i="1"/>
  <c r="G451" i="1"/>
  <c r="H460" i="1"/>
  <c r="I460" i="1"/>
  <c r="I464" i="1"/>
  <c r="I466" i="1"/>
  <c r="H615" i="1"/>
  <c r="G615" i="1"/>
  <c r="J615" i="1"/>
  <c r="K485" i="1"/>
  <c r="K486" i="1"/>
  <c r="K487" i="1"/>
  <c r="K488" i="1"/>
  <c r="K489" i="1"/>
  <c r="K490" i="1"/>
  <c r="K491" i="1"/>
  <c r="K492" i="1"/>
  <c r="K493" i="1"/>
  <c r="F507" i="1"/>
  <c r="G507" i="1"/>
  <c r="H507" i="1"/>
  <c r="I507" i="1"/>
  <c r="K514" i="1"/>
  <c r="F519" i="1"/>
  <c r="G519" i="1"/>
  <c r="K519" i="1"/>
  <c r="L519" i="1"/>
  <c r="F524" i="1"/>
  <c r="G524" i="1"/>
  <c r="K524" i="1"/>
  <c r="L524" i="1"/>
  <c r="F529" i="1"/>
  <c r="G529" i="1"/>
  <c r="K529" i="1"/>
  <c r="L529" i="1"/>
  <c r="F534" i="1"/>
  <c r="K534" i="1"/>
  <c r="L547" i="1"/>
  <c r="L548" i="1"/>
  <c r="L549" i="1"/>
  <c r="F550" i="1"/>
  <c r="G550" i="1"/>
  <c r="H550" i="1"/>
  <c r="I550" i="1"/>
  <c r="J550" i="1"/>
  <c r="K550" i="1"/>
  <c r="L552" i="1"/>
  <c r="L553" i="1"/>
  <c r="L554" i="1"/>
  <c r="F555" i="1"/>
  <c r="G555" i="1"/>
  <c r="H555" i="1"/>
  <c r="I555" i="1"/>
  <c r="J555" i="1"/>
  <c r="K555" i="1"/>
  <c r="L557" i="1"/>
  <c r="L558" i="1"/>
  <c r="L559" i="1"/>
  <c r="F560" i="1"/>
  <c r="G560" i="1"/>
  <c r="H560" i="1"/>
  <c r="I560" i="1"/>
  <c r="J560" i="1"/>
  <c r="K560" i="1"/>
  <c r="F561" i="1"/>
  <c r="H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2" i="1"/>
  <c r="K583" i="1"/>
  <c r="K584" i="1"/>
  <c r="K585" i="1"/>
  <c r="K586" i="1"/>
  <c r="K587" i="1"/>
  <c r="I588" i="1"/>
  <c r="H640" i="1"/>
  <c r="K592" i="1"/>
  <c r="K593" i="1"/>
  <c r="I595" i="1"/>
  <c r="J595" i="1"/>
  <c r="F604" i="1"/>
  <c r="H604" i="1"/>
  <c r="I604" i="1"/>
  <c r="J604" i="1"/>
  <c r="K604" i="1"/>
  <c r="G608" i="1"/>
  <c r="G610" i="1"/>
  <c r="G612" i="1"/>
  <c r="G613" i="1"/>
  <c r="G614" i="1"/>
  <c r="H619" i="1"/>
  <c r="H620" i="1"/>
  <c r="G626" i="1"/>
  <c r="H626" i="1"/>
  <c r="J626" i="1"/>
  <c r="G630" i="1"/>
  <c r="H630" i="1"/>
  <c r="J630" i="1"/>
  <c r="G633" i="1"/>
  <c r="H633" i="1"/>
  <c r="J633" i="1"/>
  <c r="G634" i="1"/>
  <c r="H634" i="1"/>
  <c r="H635" i="1"/>
  <c r="G640" i="1"/>
  <c r="J640" i="1"/>
  <c r="G642" i="1"/>
  <c r="H642" i="1"/>
  <c r="J642" i="1"/>
  <c r="G643" i="1"/>
  <c r="H643" i="1"/>
  <c r="J643" i="1"/>
  <c r="G644" i="1"/>
  <c r="H644" i="1"/>
  <c r="J644" i="1"/>
  <c r="G645" i="1"/>
  <c r="H645" i="1"/>
  <c r="D54" i="2"/>
  <c r="C19" i="2"/>
  <c r="E95" i="2"/>
  <c r="D95" i="2"/>
  <c r="J184" i="1"/>
  <c r="G635" i="1"/>
  <c r="J635" i="1"/>
  <c r="J37" i="1"/>
  <c r="I450" i="1"/>
  <c r="J24" i="1"/>
  <c r="G23" i="2"/>
  <c r="I444" i="1"/>
  <c r="I451" i="1"/>
  <c r="H632" i="1"/>
  <c r="E49" i="2"/>
  <c r="E54" i="2"/>
  <c r="E55" i="2"/>
  <c r="G652" i="1"/>
  <c r="C12" i="10"/>
  <c r="C103" i="2"/>
  <c r="L560" i="1"/>
  <c r="I561" i="1"/>
  <c r="L411" i="1"/>
  <c r="F184" i="1"/>
  <c r="G151" i="2"/>
  <c r="G149" i="2"/>
  <c r="K426" i="1"/>
  <c r="G126" i="2"/>
  <c r="G136" i="2"/>
  <c r="G137" i="2"/>
  <c r="G95" i="2"/>
  <c r="C95" i="2"/>
  <c r="D83" i="2"/>
  <c r="F83" i="2"/>
  <c r="E70" i="2"/>
  <c r="E73" i="2"/>
  <c r="C70" i="2"/>
  <c r="E32" i="2"/>
  <c r="C32" i="2"/>
  <c r="C43" i="2"/>
  <c r="F19" i="2"/>
  <c r="D19" i="2"/>
  <c r="E136" i="2"/>
  <c r="L399" i="1"/>
  <c r="C132" i="2"/>
  <c r="L385" i="1"/>
  <c r="C130" i="2"/>
  <c r="C32" i="10"/>
  <c r="L221" i="1"/>
  <c r="L301" i="1"/>
  <c r="G650" i="1"/>
  <c r="J10" i="1"/>
  <c r="I438" i="1"/>
  <c r="G632" i="1"/>
  <c r="I104" i="1"/>
  <c r="F48" i="2"/>
  <c r="F55" i="2"/>
  <c r="G104" i="1"/>
  <c r="D48" i="2"/>
  <c r="D55" i="2"/>
  <c r="C19" i="10"/>
  <c r="K561" i="1"/>
  <c r="G561" i="1"/>
  <c r="L550" i="1"/>
  <c r="L555" i="1"/>
  <c r="L419" i="1"/>
  <c r="L329" i="1"/>
  <c r="I330" i="1"/>
  <c r="I344" i="1"/>
  <c r="G330" i="1"/>
  <c r="G344" i="1"/>
  <c r="L248" i="1"/>
  <c r="K249" i="1"/>
  <c r="K263" i="1"/>
  <c r="G152" i="2"/>
  <c r="G150" i="2"/>
  <c r="G148" i="2"/>
  <c r="C54" i="2"/>
  <c r="F42" i="2"/>
  <c r="F43" i="2"/>
  <c r="D42" i="2"/>
  <c r="L393" i="1"/>
  <c r="C131" i="2"/>
  <c r="C29" i="10"/>
  <c r="F31" i="13"/>
  <c r="G36" i="2"/>
  <c r="G10" i="2"/>
  <c r="L561" i="1"/>
  <c r="L531" i="1"/>
  <c r="G156" i="2"/>
  <c r="L426" i="1"/>
  <c r="G628" i="1"/>
  <c r="I426" i="1"/>
  <c r="J354" i="1"/>
  <c r="F29" i="13"/>
  <c r="F33" i="13"/>
  <c r="I359" i="1"/>
  <c r="F360" i="1"/>
  <c r="F361" i="1"/>
  <c r="I360" i="1"/>
  <c r="I354" i="1"/>
  <c r="G624" i="1"/>
  <c r="I361" i="1"/>
  <c r="H624" i="1"/>
  <c r="J624" i="1"/>
  <c r="G354" i="1"/>
  <c r="G132" i="1"/>
  <c r="J634" i="1"/>
  <c r="J629" i="1"/>
  <c r="J608" i="1"/>
  <c r="J645" i="1"/>
  <c r="L195" i="1"/>
  <c r="J249" i="1"/>
  <c r="I249" i="1"/>
  <c r="I263" i="1"/>
  <c r="F249" i="1"/>
  <c r="F263" i="1"/>
  <c r="L199" i="1"/>
  <c r="G511" i="1"/>
  <c r="L197" i="1"/>
  <c r="L194" i="1"/>
  <c r="L201" i="1"/>
  <c r="C133" i="2"/>
  <c r="F95" i="2"/>
  <c r="D17" i="13"/>
  <c r="C17" i="13"/>
  <c r="D43" i="2"/>
  <c r="D19" i="13"/>
  <c r="C19" i="13"/>
  <c r="C36" i="12"/>
  <c r="A40" i="12"/>
  <c r="H203" i="1"/>
  <c r="H239" i="1"/>
  <c r="H249" i="1"/>
  <c r="H263" i="1"/>
  <c r="J263" i="1"/>
  <c r="H638" i="1"/>
  <c r="C39" i="10"/>
  <c r="C62" i="2"/>
  <c r="F132" i="1"/>
  <c r="C38" i="10"/>
  <c r="I542" i="1"/>
  <c r="K535" i="1"/>
  <c r="K540" i="1"/>
  <c r="G153" i="2"/>
  <c r="G39" i="2"/>
  <c r="J43" i="1"/>
  <c r="J33" i="1"/>
  <c r="G22" i="2"/>
  <c r="G32" i="2"/>
  <c r="G42" i="2"/>
  <c r="J632" i="1"/>
  <c r="J631" i="1"/>
  <c r="G9" i="2"/>
  <c r="G19" i="2"/>
  <c r="J19" i="1"/>
  <c r="G611" i="1"/>
  <c r="L400" i="1"/>
  <c r="H25" i="13"/>
  <c r="C25" i="13"/>
  <c r="H33" i="13"/>
  <c r="C136" i="2"/>
  <c r="C23" i="10"/>
  <c r="E13" i="13"/>
  <c r="C13" i="13"/>
  <c r="D12" i="13"/>
  <c r="C12" i="13"/>
  <c r="E83" i="2"/>
  <c r="E96" i="2"/>
  <c r="I185" i="1"/>
  <c r="G620" i="1"/>
  <c r="J620" i="1"/>
  <c r="G185" i="1"/>
  <c r="D73" i="2"/>
  <c r="D96" i="2"/>
  <c r="G73" i="2"/>
  <c r="C73" i="2"/>
  <c r="F96" i="2"/>
  <c r="G619" i="1"/>
  <c r="J619" i="1"/>
  <c r="J185" i="1"/>
  <c r="G55" i="2"/>
  <c r="E42" i="2"/>
  <c r="E43" i="2"/>
  <c r="J610" i="1"/>
  <c r="J609" i="1"/>
  <c r="F52" i="1"/>
  <c r="F44" i="1"/>
  <c r="H607" i="1"/>
  <c r="J607" i="1"/>
  <c r="J539" i="1"/>
  <c r="J462" i="1"/>
  <c r="J464" i="1"/>
  <c r="H628" i="1"/>
  <c r="J628" i="1"/>
  <c r="F354" i="1"/>
  <c r="L350" i="1"/>
  <c r="G618" i="1"/>
  <c r="G458" i="1"/>
  <c r="G621" i="1"/>
  <c r="J458" i="1"/>
  <c r="L190" i="1"/>
  <c r="C18" i="12"/>
  <c r="A22" i="12"/>
  <c r="D7" i="13"/>
  <c r="C7" i="13"/>
  <c r="C16" i="10"/>
  <c r="C111" i="2"/>
  <c r="L192" i="1"/>
  <c r="C113" i="2"/>
  <c r="C18" i="10"/>
  <c r="G96" i="2"/>
  <c r="J44" i="1"/>
  <c r="H611" i="1"/>
  <c r="G616" i="1"/>
  <c r="J611" i="1"/>
  <c r="G43" i="2"/>
  <c r="G627" i="1"/>
  <c r="H636" i="1"/>
  <c r="G636" i="1"/>
  <c r="C48" i="2"/>
  <c r="C55" i="2"/>
  <c r="C96" i="2"/>
  <c r="C35" i="10"/>
  <c r="F104" i="1"/>
  <c r="J636" i="1"/>
  <c r="L354" i="1"/>
  <c r="G462" i="1"/>
  <c r="H651" i="1"/>
  <c r="G651" i="1"/>
  <c r="G654" i="1"/>
  <c r="D119" i="2"/>
  <c r="D120" i="2"/>
  <c r="D137" i="2"/>
  <c r="D29" i="13"/>
  <c r="C29" i="13"/>
  <c r="F651" i="1"/>
  <c r="G460" i="1"/>
  <c r="H618" i="1"/>
  <c r="J618" i="1"/>
  <c r="J460" i="1"/>
  <c r="J466" i="1"/>
  <c r="H616" i="1"/>
  <c r="J616" i="1"/>
  <c r="H621" i="1"/>
  <c r="J621" i="1"/>
  <c r="H627" i="1"/>
  <c r="J627" i="1"/>
  <c r="L236" i="1"/>
  <c r="G239" i="1"/>
  <c r="C9" i="12"/>
  <c r="L189" i="1"/>
  <c r="C102" i="2"/>
  <c r="L200" i="1"/>
  <c r="C13" i="10"/>
  <c r="C104" i="2"/>
  <c r="C36" i="10"/>
  <c r="F185" i="1"/>
  <c r="G617" i="1"/>
  <c r="F458" i="1"/>
  <c r="I651" i="1"/>
  <c r="G625" i="1"/>
  <c r="C27" i="10"/>
  <c r="G203" i="1"/>
  <c r="D5" i="13"/>
  <c r="C5" i="13"/>
  <c r="C101" i="2"/>
  <c r="C107" i="2"/>
  <c r="H652" i="1"/>
  <c r="G641" i="1"/>
  <c r="J641" i="1"/>
  <c r="L239" i="1"/>
  <c r="H650" i="1"/>
  <c r="H654" i="1"/>
  <c r="G249" i="1"/>
  <c r="G263" i="1"/>
  <c r="C41" i="10"/>
  <c r="H617" i="1"/>
  <c r="J617" i="1"/>
  <c r="F460" i="1"/>
  <c r="L268" i="1"/>
  <c r="C10" i="10"/>
  <c r="L269" i="1"/>
  <c r="D40" i="10"/>
  <c r="D39" i="10"/>
  <c r="D37" i="10"/>
  <c r="D38" i="10"/>
  <c r="D35" i="10"/>
  <c r="D36" i="10"/>
  <c r="K282" i="1"/>
  <c r="K330" i="1"/>
  <c r="K344" i="1"/>
  <c r="E102" i="2"/>
  <c r="C11" i="10"/>
  <c r="D41" i="10"/>
  <c r="H588" i="1"/>
  <c r="H639" i="1"/>
  <c r="K581" i="1"/>
  <c r="K588" i="1"/>
  <c r="G637" i="1"/>
  <c r="H625" i="1"/>
  <c r="J625" i="1"/>
  <c r="G464" i="1"/>
  <c r="G466" i="1"/>
  <c r="H613" i="1"/>
  <c r="J613" i="1"/>
  <c r="F514" i="1"/>
  <c r="F535" i="1"/>
  <c r="L601" i="1"/>
  <c r="L604" i="1"/>
  <c r="G604" i="1"/>
  <c r="L282" i="1"/>
  <c r="B13" i="12"/>
  <c r="B31" i="12"/>
  <c r="A31" i="12"/>
  <c r="L330" i="1"/>
  <c r="L344" i="1"/>
  <c r="G623" i="1"/>
  <c r="H462" i="1"/>
  <c r="H623" i="1"/>
  <c r="J623" i="1"/>
  <c r="H464" i="1"/>
  <c r="H466" i="1"/>
  <c r="H614" i="1"/>
  <c r="J614" i="1"/>
  <c r="A13" i="12"/>
  <c r="C11" i="13"/>
  <c r="H657" i="1"/>
  <c r="H662" i="1"/>
  <c r="G657" i="1"/>
  <c r="G662" i="1"/>
  <c r="C117" i="2"/>
  <c r="E16" i="13"/>
  <c r="C17" i="10"/>
  <c r="C115" i="2"/>
  <c r="D14" i="13"/>
  <c r="C14" i="13"/>
  <c r="C20" i="10"/>
  <c r="C15" i="10"/>
  <c r="C21" i="10"/>
  <c r="C28" i="10"/>
  <c r="C116" i="2"/>
  <c r="D15" i="13"/>
  <c r="C15" i="13"/>
  <c r="G639" i="1"/>
  <c r="J639" i="1"/>
  <c r="F652" i="1"/>
  <c r="I652" i="1"/>
  <c r="H637" i="1"/>
  <c r="J637" i="1"/>
  <c r="D6" i="13"/>
  <c r="C110" i="2"/>
  <c r="C120" i="2"/>
  <c r="C137" i="2"/>
  <c r="L203" i="1"/>
  <c r="G514" i="1"/>
  <c r="L511" i="1"/>
  <c r="K594" i="1"/>
  <c r="K595" i="1"/>
  <c r="G638" i="1"/>
  <c r="J638" i="1"/>
  <c r="H595" i="1"/>
  <c r="F653" i="1"/>
  <c r="I653" i="1"/>
  <c r="L533" i="1"/>
  <c r="G534" i="1"/>
  <c r="G31" i="13"/>
  <c r="E101" i="2"/>
  <c r="E107" i="2"/>
  <c r="E137" i="2"/>
  <c r="D26" i="10"/>
  <c r="D24" i="10"/>
  <c r="D16" i="10"/>
  <c r="D12" i="10"/>
  <c r="D19" i="10"/>
  <c r="C30" i="10"/>
  <c r="D23" i="10"/>
  <c r="D18" i="10"/>
  <c r="D13" i="10"/>
  <c r="D22" i="10"/>
  <c r="D11" i="10"/>
  <c r="D27" i="10"/>
  <c r="D25" i="10"/>
  <c r="D10" i="10"/>
  <c r="G33" i="13"/>
  <c r="D31" i="13"/>
  <c r="C31" i="13"/>
  <c r="C6" i="13"/>
  <c r="D33" i="13"/>
  <c r="D36" i="13"/>
  <c r="J541" i="1"/>
  <c r="L534" i="1"/>
  <c r="L514" i="1"/>
  <c r="F539" i="1"/>
  <c r="L249" i="1"/>
  <c r="L263" i="1"/>
  <c r="F650" i="1"/>
  <c r="G535" i="1"/>
  <c r="D21" i="10"/>
  <c r="D15" i="10"/>
  <c r="D17" i="10"/>
  <c r="E33" i="13"/>
  <c r="D35" i="13"/>
  <c r="C16" i="13"/>
  <c r="D20" i="10"/>
  <c r="I650" i="1"/>
  <c r="I654" i="1"/>
  <c r="F654" i="1"/>
  <c r="G622" i="1"/>
  <c r="F462" i="1"/>
  <c r="J542" i="1"/>
  <c r="K541" i="1"/>
  <c r="L535" i="1"/>
  <c r="K539" i="1"/>
  <c r="K542" i="1"/>
  <c r="F542" i="1"/>
  <c r="D28" i="10"/>
  <c r="I662" i="1"/>
  <c r="C7" i="10"/>
  <c r="I657" i="1"/>
  <c r="H622" i="1"/>
  <c r="J622" i="1"/>
  <c r="F464" i="1"/>
  <c r="F466" i="1"/>
  <c r="H612" i="1"/>
  <c r="J612" i="1"/>
  <c r="F657" i="1"/>
  <c r="F662" i="1"/>
  <c r="C4" i="10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A2C1F5E0-229A-48F2-BAA8-77C8B91D8257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7A7ABCBB-959C-489E-AA7D-AFB89CE44EB0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D5A17C8-AAD8-4583-AC9C-90B3024000FB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1E9DF46-1F8F-4AC2-91D8-A7C51F00751B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F92B556-EFC2-41AE-84C1-2F0D4FDFA437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G124" authorId="0" shapeId="0" xr:uid="{5047D9DB-7592-43BA-B0B6-A85A7C518100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A481" authorId="0" shapeId="0" xr:uid="{E551BE71-C6EE-4994-A116-376673E7D9EF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55F32FB1-6A47-4551-8E0E-66AF5C2BAC18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DA622C92-834A-45B0-AFA7-DF0F902C1DD9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60CBC73B-CB95-4EC2-9E45-71770A5DE573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<sst xmlns="http://schemas.openxmlformats.org/spreadsheetml/2006/main" count="3863" uniqueCount="898">
  <si>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</si>
  <si>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</si>
  <si>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</si>
  <si>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</si>
  <si>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</si>
  <si>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</si>
  <si>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</si>
  <si>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</si>
  <si>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</si>
  <si>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</si>
  <si>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</si>
  <si>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</si>
  <si>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</si>
  <si>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</si>
  <si>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</si>
  <si>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</si>
  <si>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</si>
  <si>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</si>
  <si>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</si>
  <si>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</si>
  <si>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</si>
  <si>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</si>
  <si>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</si>
  <si>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</si>
  <si>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</si>
  <si>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</si>
  <si>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</si>
  <si>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</si>
  <si>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</si>
  <si>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</si>
  <si>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</si>
  <si>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</si>
  <si>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</si>
  <si>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</si>
  <si>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</si>
  <si>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</si>
  <si>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</si>
  <si>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</si>
  <si>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</si>
  <si>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</si>
  <si>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</si>
  <si>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</si>
  <si>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</si>
  <si>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</si>
  <si>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</si>
  <si>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</si>
  <si>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</si>
  <si>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</si>
  <si>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</si>
  <si>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</si>
  <si>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</si>
  <si>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</si>
  <si>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</si>
  <si>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</si>
  <si>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</si>
  <si>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</si>
  <si>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</si>
  <si>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</si>
  <si>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</si>
  <si>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</si>
  <si>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</si>
  <si>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</si>
  <si>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</si>
  <si>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</si>
  <si>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</si>
  <si>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</si>
  <si>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</si>
  <si>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</si>
  <si>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</si>
  <si>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</si>
  <si>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</si>
  <si>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</si>
  <si>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</si>
  <si>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</si>
  <si>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</si>
  <si>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</si>
  <si>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</si>
  <si>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</si>
  <si>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</si>
  <si>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</si>
  <si>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</si>
  <si>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</si>
  <si>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</si>
  <si>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</si>
  <si>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</si>
  <si>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</si>
  <si>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</si>
  <si>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</si>
  <si>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</si>
  <si>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</si>
  <si>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</si>
  <si>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</si>
  <si>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</si>
  <si>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</si>
  <si>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</si>
  <si>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</si>
  <si>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</si>
  <si>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</si>
  <si>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</si>
  <si>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</si>
  <si>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</si>
  <si>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</si>
  <si>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</si>
  <si>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</si>
  <si>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</si>
  <si>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</si>
  <si>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</si>
  <si>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</si>
  <si>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</si>
  <si>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</si>
  <si>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</si>
  <si>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</si>
  <si>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</si>
  <si>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</si>
  <si>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</si>
  <si>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</si>
  <si>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</si>
  <si>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</si>
  <si>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</si>
  <si>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</si>
  <si>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</si>
  <si>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</si>
  <si>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</si>
  <si>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</si>
  <si>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</si>
  <si>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</si>
  <si>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</si>
  <si>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</si>
  <si>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</si>
  <si>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</si>
  <si>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</si>
  <si>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</si>
  <si>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</si>
  <si>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</si>
  <si>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</si>
  <si>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</si>
  <si>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</si>
  <si>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</si>
  <si>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</si>
  <si>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</si>
  <si>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</si>
  <si>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</si>
  <si>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</si>
  <si>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</si>
  <si>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</si>
  <si>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</si>
  <si>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</si>
  <si>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</si>
  <si>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</si>
  <si>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</si>
  <si>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</si>
  <si>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</si>
  <si>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</si>
  <si>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</si>
  <si>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</si>
  <si>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</si>
  <si>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</si>
  <si>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</si>
  <si>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</si>
  <si>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</si>
  <si>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</si>
  <si>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</si>
  <si>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</si>
  <si>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</si>
  <si>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</si>
  <si>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</si>
  <si>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</si>
  <si>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</si>
  <si>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</si>
  <si>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</si>
  <si>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</si>
  <si>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</si>
  <si>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</si>
  <si>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</si>
  <si>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</si>
  <si>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</si>
  <si>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</si>
  <si>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</si>
  <si>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</si>
  <si>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</si>
  <si>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</si>
  <si>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</si>
  <si>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</si>
  <si>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</si>
  <si>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</si>
  <si>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</si>
  <si>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</si>
  <si>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</si>
  <si>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</si>
  <si>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</si>
  <si>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</si>
  <si>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</si>
  <si>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</si>
  <si>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</si>
  <si>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</si>
  <si>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</si>
  <si>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</si>
  <si>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</si>
  <si>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</si>
  <si>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</si>
  <si>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</si>
  <si>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</si>
  <si>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</si>
  <si>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</si>
  <si>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</si>
  <si>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</si>
  <si>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</si>
  <si>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</si>
  <si>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</si>
  <si>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</si>
  <si>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</si>
  <si>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</si>
  <si>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</si>
  <si>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</si>
  <si>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</si>
  <si>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</si>
  <si>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</si>
  <si>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</si>
  <si>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</si>
  <si>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</si>
  <si>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</si>
  <si>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</si>
  <si>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</si>
  <si>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</si>
  <si>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</si>
  <si>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</si>
  <si>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</si>
  <si>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</si>
  <si>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</si>
  <si>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</si>
  <si>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</si>
  <si>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</si>
  <si>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</si>
  <si>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</si>
  <si>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</si>
  <si>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</si>
  <si>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</si>
  <si>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</si>
  <si>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</si>
  <si>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</si>
  <si>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</si>
  <si>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</si>
  <si>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</si>
  <si>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</si>
  <si>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</si>
  <si>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</si>
  <si>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</si>
  <si>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</si>
  <si>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</si>
  <si>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</si>
  <si>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</si>
  <si>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</si>
  <si>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</si>
  <si>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</si>
  <si>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</si>
  <si>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</si>
  <si>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</si>
  <si>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</si>
  <si>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</si>
  <si>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</si>
  <si>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</si>
  <si>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</si>
  <si>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</si>
  <si>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</si>
  <si>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</si>
  <si>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</si>
  <si>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</si>
  <si>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</si>
  <si>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</si>
  <si>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</si>
  <si>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</si>
  <si>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</si>
  <si>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</si>
  <si>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</si>
  <si>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</si>
  <si>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</si>
  <si>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</si>
  <si>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</si>
  <si>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</si>
  <si>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</si>
  <si>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</si>
  <si>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</si>
  <si>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</si>
  <si>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</si>
  <si>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</si>
  <si>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</si>
  <si>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</si>
  <si>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</si>
  <si>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</si>
  <si>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</si>
  <si>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</si>
  <si>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</si>
  <si>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</si>
  <si>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</si>
  <si>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</si>
  <si>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</si>
  <si>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</si>
  <si>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</si>
  <si>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</si>
  <si>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</si>
  <si>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</si>
  <si>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</si>
  <si>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</si>
  <si>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</si>
  <si>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</si>
  <si>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</si>
  <si>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</si>
  <si>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</si>
  <si>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</si>
  <si>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</si>
  <si>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</si>
  <si>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</si>
  <si>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</si>
  <si>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</si>
  <si>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</si>
  <si>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</si>
  <si>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</si>
  <si>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</si>
  <si>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</si>
  <si>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</si>
  <si>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</si>
  <si>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</si>
  <si>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</si>
  <si>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</si>
  <si>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</si>
  <si>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</si>
  <si>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</si>
  <si>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</si>
  <si>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</si>
  <si>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</si>
  <si>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</si>
  <si>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</si>
  <si>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</si>
  <si>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</si>
  <si>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</si>
  <si>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</si>
  <si>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</si>
  <si>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</si>
  <si>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</si>
  <si>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</si>
  <si>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</si>
  <si>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</si>
  <si>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</si>
  <si>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</si>
  <si>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</si>
  <si>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</si>
  <si>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</si>
  <si>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</si>
  <si>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</si>
  <si>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</si>
  <si>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</si>
  <si>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</si>
  <si>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</si>
  <si>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</si>
  <si>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</si>
  <si>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</si>
  <si>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</si>
  <si>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</si>
  <si>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</si>
  <si>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</si>
  <si>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</si>
  <si>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</si>
  <si>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</si>
  <si>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</si>
  <si>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</si>
  <si>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</si>
  <si>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</si>
  <si>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</si>
  <si>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</si>
  <si>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</si>
  <si>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</si>
  <si>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</si>
  <si>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</si>
  <si>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</si>
  <si>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</si>
  <si>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</si>
  <si>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</si>
  <si>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</si>
  <si>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</si>
  <si>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</si>
  <si>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</si>
  <si>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</si>
  <si>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</si>
  <si>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</si>
  <si>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</si>
  <si>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</si>
  <si>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</si>
  <si>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</si>
  <si>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</si>
  <si>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</si>
  <si>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</si>
  <si>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</si>
  <si>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</si>
  <si>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</si>
  <si>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</si>
  <si>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</si>
  <si>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</si>
  <si>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</si>
  <si>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</si>
  <si>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</si>
  <si>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</si>
  <si>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</si>
  <si>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</si>
  <si>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</si>
  <si>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</si>
  <si>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</si>
  <si>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</si>
  <si>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</si>
  <si>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</si>
  <si>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</si>
  <si>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</si>
  <si>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</si>
  <si>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</si>
  <si>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</si>
  <si>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</si>
  <si>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</si>
  <si>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</si>
  <si>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</si>
  <si>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</si>
  <si>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</si>
  <si>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</si>
  <si>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</si>
  <si>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</si>
  <si>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</si>
  <si>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</si>
  <si>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</si>
  <si>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</si>
  <si>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</si>
  <si>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</si>
  <si>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</si>
  <si>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</si>
  <si>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</si>
  <si>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</si>
  <si>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</si>
  <si>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</si>
  <si>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</si>
  <si>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</si>
  <si>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</si>
  <si>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</si>
  <si>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</si>
  <si>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</si>
  <si>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</si>
  <si>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</si>
  <si>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</si>
  <si>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</si>
  <si>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</si>
  <si>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</si>
  <si>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</si>
  <si>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</si>
  <si>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</si>
  <si>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</si>
  <si>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</si>
  <si>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</si>
  <si>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</si>
  <si>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</si>
  <si>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</si>
  <si>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</si>
  <si>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</si>
  <si>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</si>
  <si>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</si>
  <si>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</si>
  <si>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</si>
  <si>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</si>
  <si>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</si>
  <si>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</si>
  <si>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</si>
  <si>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</si>
  <si>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</si>
  <si>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</si>
  <si>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</si>
  <si>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</si>
  <si>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</si>
  <si>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</si>
  <si>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</si>
  <si>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</si>
  <si>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</si>
  <si>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</si>
  <si>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</si>
  <si>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</si>
  <si>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</si>
  <si>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</si>
  <si>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</si>
  <si>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</si>
  <si>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</si>
  <si>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</si>
  <si>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</si>
  <si>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</si>
  <si>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</si>
  <si>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</si>
  <si>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</si>
  <si>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</si>
  <si>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</si>
  <si>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</si>
  <si>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</si>
  <si>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</si>
  <si>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</si>
  <si>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</si>
  <si>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</si>
  <si>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</si>
  <si>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</si>
  <si>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</si>
  <si>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</si>
  <si>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</si>
  <si>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</si>
  <si>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</si>
  <si>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</si>
  <si>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</si>
  <si>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</si>
  <si>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</si>
  <si>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</si>
  <si>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</si>
  <si>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</si>
  <si>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</si>
  <si>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</si>
  <si>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</si>
  <si>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</si>
  <si>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</si>
  <si>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</si>
  <si>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</si>
  <si>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</si>
  <si>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</si>
  <si>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</si>
  <si>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</si>
  <si>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</si>
  <si>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</si>
  <si>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</si>
  <si>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</si>
  <si>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</si>
  <si>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</si>
  <si>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</si>
  <si>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</si>
  <si>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</si>
  <si>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</si>
  <si>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</si>
  <si>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</si>
  <si>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</si>
  <si>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</si>
  <si>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</si>
  <si>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</si>
  <si>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</si>
  <si>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</si>
  <si>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</si>
  <si>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</si>
  <si>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</si>
  <si>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</si>
  <si>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</si>
  <si>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</si>
  <si>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</si>
  <si>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</si>
  <si>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</si>
  <si>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</si>
  <si>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</si>
  <si>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</si>
  <si>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</si>
  <si>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</si>
  <si>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</si>
  <si>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</si>
  <si>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</si>
  <si>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</si>
  <si>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</si>
  <si>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</si>
  <si>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</si>
  <si>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</si>
  <si>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</si>
  <si>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</si>
  <si>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</si>
  <si>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</si>
  <si>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</si>
  <si>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</si>
  <si>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</si>
  <si>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</si>
  <si>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</si>
  <si>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</si>
  <si>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</si>
  <si>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</si>
  <si>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</si>
  <si>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</si>
  <si>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</si>
  <si>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</si>
  <si>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</si>
  <si>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</si>
  <si>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</si>
  <si>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</si>
  <si>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</si>
  <si>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</si>
  <si>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</si>
  <si>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</si>
  <si>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</si>
  <si>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</si>
  <si>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</si>
  <si>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</si>
  <si>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</si>
  <si>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</si>
  <si>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</si>
  <si>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</si>
  <si>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</si>
  <si>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</si>
  <si>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</si>
  <si>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</si>
  <si>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</si>
  <si>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</si>
  <si>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</si>
  <si>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</si>
  <si>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</si>
  <si>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</si>
  <si>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</si>
  <si>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</si>
  <si>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</si>
  <si>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</si>
  <si>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</si>
  <si>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</si>
  <si>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</si>
  <si>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</si>
  <si>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</si>
  <si>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</si>
  <si>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</si>
  <si>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</si>
  <si>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</si>
  <si>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</si>
  <si>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</si>
  <si>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</si>
  <si>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</si>
  <si>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</si>
  <si>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</si>
  <si>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</si>
  <si>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</si>
  <si>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</si>
  <si>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</si>
  <si>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</si>
  <si>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</si>
  <si>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</si>
  <si>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</si>
  <si>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</si>
  <si>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</si>
  <si>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</si>
  <si>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</si>
  <si>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</si>
  <si>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</si>
  <si>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</si>
  <si>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</si>
  <si>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</si>
  <si>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</si>
  <si>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</si>
  <si>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</si>
  <si>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</si>
  <si>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</si>
  <si>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</si>
  <si>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</si>
  <si>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</si>
  <si>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</si>
  <si>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</si>
  <si>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</si>
  <si>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</si>
  <si>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</si>
  <si>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</si>
  <si>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</si>
  <si>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</si>
  <si>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</si>
  <si>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</si>
  <si>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</si>
  <si>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</si>
  <si>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</si>
  <si>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</si>
  <si>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</si>
  <si>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</si>
  <si>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</si>
  <si>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</si>
  <si>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</si>
  <si>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</si>
  <si>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</si>
  <si>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</si>
  <si>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</si>
  <si>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</si>
  <si>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</si>
  <si>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</si>
  <si>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</si>
  <si>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</si>
  <si>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</si>
  <si>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</si>
  <si>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</si>
  <si>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</si>
  <si>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</si>
  <si>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</si>
  <si>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</si>
  <si>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</si>
  <si>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</si>
  <si>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</si>
  <si>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</si>
  <si>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</si>
  <si>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</si>
  <si>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</si>
  <si>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</si>
  <si>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</si>
  <si>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</si>
  <si>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</si>
  <si>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</si>
  <si>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</si>
  <si>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</si>
  <si>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</si>
  <si>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</si>
  <si>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</si>
  <si>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</si>
  <si>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</si>
  <si>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</si>
  <si>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</si>
  <si>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</si>
  <si>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</si>
  <si>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</si>
  <si>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</si>
  <si>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</si>
  <si>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</si>
  <si>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</si>
  <si>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</si>
  <si>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</si>
  <si>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</si>
  <si>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</si>
  <si>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</si>
  <si>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</si>
  <si>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</si>
  <si>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</si>
  <si>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</si>
  <si>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</si>
  <si>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</si>
  <si>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</si>
  <si>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</si>
  <si>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</si>
  <si>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</si>
  <si>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</si>
  <si>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</si>
  <si>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</si>
  <si>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</si>
  <si>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</si>
  <si>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</si>
  <si>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</si>
  <si>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</si>
  <si>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</si>
  <si>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</si>
  <si>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</si>
  <si>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</si>
  <si>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</si>
  <si>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</si>
  <si>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</si>
  <si>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</si>
  <si>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</si>
  <si>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</si>
  <si>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</si>
  <si>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</si>
  <si>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</si>
  <si>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</si>
  <si>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</si>
  <si>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</si>
  <si>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</si>
  <si>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</si>
  <si>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</si>
  <si>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</si>
  <si>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</si>
  <si>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</si>
  <si>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</si>
  <si>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</si>
  <si>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</si>
  <si>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</si>
  <si>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</si>
  <si>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</si>
  <si>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</si>
  <si>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</si>
  <si>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</si>
  <si>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</si>
  <si>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</si>
  <si>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</si>
  <si>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</si>
  <si>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</si>
  <si>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</si>
  <si>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</si>
  <si>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</si>
  <si>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</si>
  <si>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</si>
  <si>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</si>
  <si>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</si>
  <si>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</si>
  <si>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</si>
  <si>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</si>
  <si>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</si>
  <si>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</si>
  <si>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</si>
  <si>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</si>
  <si>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</si>
  <si>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</si>
  <si>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</si>
  <si>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</si>
  <si>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</si>
  <si>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</si>
  <si>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</si>
  <si>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</si>
  <si>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</si>
  <si>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</si>
  <si>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</si>
  <si>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</si>
  <si>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</si>
  <si>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</si>
  <si>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</si>
  <si>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</si>
  <si>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</si>
  <si>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</si>
  <si>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</si>
  <si>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</si>
  <si>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</si>
  <si>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</si>
  <si>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</si>
  <si>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</si>
  <si>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</si>
  <si>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</si>
  <si>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</si>
  <si>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</si>
  <si>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</si>
  <si>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</si>
  <si>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</si>
  <si>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</si>
  <si>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</si>
  <si>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</si>
  <si>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</si>
  <si>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</si>
  <si>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</si>
  <si>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</si>
  <si>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</si>
  <si>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</si>
  <si>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</si>
  <si>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</si>
  <si>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</si>
  <si>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</si>
  <si>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</si>
  <si>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</si>
  <si>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</si>
  <si>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</si>
  <si>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</si>
  <si>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</si>
  <si>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</si>
  <si>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</si>
  <si>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</si>
  <si>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</si>
  <si>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</si>
  <si>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</si>
  <si>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</si>
  <si>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</si>
  <si>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</si>
  <si>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</si>
  <si>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</si>
  <si>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</si>
  <si>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</si>
  <si>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</si>
  <si>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</si>
  <si>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</si>
  <si>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</si>
  <si>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</si>
  <si>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</si>
  <si>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</si>
  <si>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</si>
  <si>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</si>
  <si>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</si>
  <si>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</si>
  <si>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</si>
  <si>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</si>
  <si>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</si>
  <si>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</si>
  <si>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</si>
  <si>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</si>
  <si>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</si>
  <si>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</si>
  <si>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</si>
  <si>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</si>
  <si>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</si>
  <si>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</si>
  <si>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</si>
  <si>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</si>
  <si>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</si>
  <si>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</si>
  <si>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</si>
  <si>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</si>
  <si>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</si>
  <si>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</si>
  <si>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</si>
  <si>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</si>
  <si>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</si>
  <si>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</si>
  <si>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</si>
  <si>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</si>
  <si>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</si>
  <si>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</si>
  <si>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</si>
  <si>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</si>
  <si>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</si>
  <si>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</si>
  <si>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</si>
  <si>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</si>
  <si>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</si>
  <si>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 xml:space="preserve">          02/98</t>
  </si>
  <si>
    <t xml:space="preserve">          08/12</t>
  </si>
  <si>
    <t>Incorrect information from TD Bank.</t>
  </si>
  <si>
    <t>Wakefield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</si>
</sst>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38849-ECB4-43F1-A054-6A240D0F77D8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2" t="s">
        <v>897</v>
      </c>
      <c r="B2" s="21">
        <v>543</v>
      </c>
      <c r="C2" s="21">
        <v>543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1" t="s">
        <v>304</v>
      </c>
      <c r="G6" s="221" t="s">
        <v>305</v>
      </c>
      <c r="H6" s="221" t="s">
        <v>306</v>
      </c>
      <c r="I6" s="221" t="s">
        <v>307</v>
      </c>
      <c r="J6" s="221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1"/>
      <c r="G7" s="222"/>
      <c r="H7" s="221" t="s">
        <v>803</v>
      </c>
      <c r="I7" s="222"/>
      <c r="J7" s="222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1348105.25+107.28</f>
        <v>1348212.53</v>
      </c>
      <c r="G9" s="18">
        <v>0</v>
      </c>
      <c r="H9" s="18">
        <v>0</v>
      </c>
      <c r="I9" s="18">
        <v>0</v>
      </c>
      <c r="J9" s="66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6">
        <f>SUM(I432)</f>
        <v>128790.27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94423.49</f>
        <v>94423.49</v>
      </c>
      <c r="G12" s="18">
        <v>12164.16</v>
      </c>
      <c r="H12" s="18">
        <v>0</v>
      </c>
      <c r="I12" s="18">
        <v>0</v>
      </c>
      <c r="J12" s="66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525.42999999999995</v>
      </c>
      <c r="G13" s="18">
        <v>0</v>
      </c>
      <c r="H13" s="18">
        <v>56953.4</v>
      </c>
      <c r="I13" s="18">
        <v>0</v>
      </c>
      <c r="J13" s="66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0</v>
      </c>
      <c r="G14" s="18">
        <f>35330.9</f>
        <v>35330.9</v>
      </c>
      <c r="H14" s="18">
        <v>0</v>
      </c>
      <c r="I14" s="18">
        <v>0</v>
      </c>
      <c r="J14" s="66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>
        <v>0</v>
      </c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6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6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1443161.45</v>
      </c>
      <c r="G19" s="41">
        <f>SUM(G9:G18)</f>
        <v>47495.06</v>
      </c>
      <c r="H19" s="41">
        <f>SUM(H9:H18)</f>
        <v>56953.4</v>
      </c>
      <c r="I19" s="41">
        <f>SUM(I9:I18)</f>
        <v>0</v>
      </c>
      <c r="J19" s="41">
        <f>SUM(J9:J18)</f>
        <v>128790.27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5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5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f>25233.18+12736.24</f>
        <v>37969.42</v>
      </c>
      <c r="H23" s="18">
        <v>56953.4</v>
      </c>
      <c r="I23" s="18">
        <v>0</v>
      </c>
      <c r="J23" s="66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0</v>
      </c>
      <c r="G24" s="18">
        <v>0</v>
      </c>
      <c r="H24" s="18">
        <v>0</v>
      </c>
      <c r="I24" s="18">
        <v>0</v>
      </c>
      <c r="J24" s="66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912276.96+100</f>
        <v>912376.96</v>
      </c>
      <c r="G25" s="18">
        <f>9140.23+957.49-572.08</f>
        <v>9525.64</v>
      </c>
      <c r="H25" s="18">
        <v>0</v>
      </c>
      <c r="I25" s="18">
        <v>0</v>
      </c>
      <c r="J25" s="66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0</v>
      </c>
      <c r="G26" s="18">
        <v>0</v>
      </c>
      <c r="H26" s="18">
        <v>0</v>
      </c>
      <c r="I26" s="18">
        <v>0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>
        <v>0</v>
      </c>
      <c r="G27" s="24" t="s">
        <v>312</v>
      </c>
      <c r="H27" s="24" t="s">
        <v>312</v>
      </c>
      <c r="I27" s="18">
        <v>0</v>
      </c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>
        <v>0</v>
      </c>
      <c r="G28" s="24" t="s">
        <v>312</v>
      </c>
      <c r="H28" s="24" t="s">
        <v>312</v>
      </c>
      <c r="I28" s="18">
        <v>0</v>
      </c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0</v>
      </c>
      <c r="G29" s="18">
        <v>0</v>
      </c>
      <c r="H29" s="18">
        <v>0</v>
      </c>
      <c r="I29" s="18">
        <v>0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509.85+11523.25-818.3+97</f>
        <v>11311.800000000001</v>
      </c>
      <c r="G30" s="18">
        <v>0</v>
      </c>
      <c r="H30" s="18">
        <v>0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>
        <v>0</v>
      </c>
      <c r="H31" s="18">
        <v>0</v>
      </c>
      <c r="I31" s="18">
        <v>0</v>
      </c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0</v>
      </c>
      <c r="G32" s="18">
        <v>0</v>
      </c>
      <c r="H32" s="18">
        <v>0</v>
      </c>
      <c r="I32" s="18">
        <v>0</v>
      </c>
      <c r="J32" s="66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923688.76</v>
      </c>
      <c r="G33" s="41">
        <f>SUM(G23:G32)</f>
        <v>47495.06</v>
      </c>
      <c r="H33" s="41">
        <f>SUM(H23:H32)</f>
        <v>56953.4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>
        <v>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v>0</v>
      </c>
      <c r="G38" s="18">
        <v>0</v>
      </c>
      <c r="H38" s="18">
        <v>0</v>
      </c>
      <c r="I38" s="18">
        <v>0</v>
      </c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92000</v>
      </c>
      <c r="G39" s="18">
        <v>0</v>
      </c>
      <c r="H39" s="18">
        <v>0</v>
      </c>
      <c r="I39" s="18">
        <v>0</v>
      </c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0</v>
      </c>
      <c r="G41" s="18">
        <v>0</v>
      </c>
      <c r="H41" s="18">
        <v>0</v>
      </c>
      <c r="I41" s="18">
        <v>0</v>
      </c>
      <c r="J41" s="13">
        <f>SUM(I449)</f>
        <v>128790.27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0">
        <v>30</v>
      </c>
      <c r="D42" s="2" t="s">
        <v>687</v>
      </c>
      <c r="E42" s="6">
        <v>770</v>
      </c>
      <c r="F42" s="18">
        <f>427031.81+440.88</f>
        <v>427472.69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519472.69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128790.27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1443161.45</v>
      </c>
      <c r="G44" s="41">
        <f>G43+G33</f>
        <v>47495.06</v>
      </c>
      <c r="H44" s="41">
        <f>H43+H33</f>
        <v>56953.4</v>
      </c>
      <c r="I44" s="41">
        <f>I43+I33</f>
        <v>0</v>
      </c>
      <c r="J44" s="41">
        <f>J43+J33</f>
        <v>128790.27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4688705</v>
      </c>
      <c r="G49" s="18">
        <v>0</v>
      </c>
      <c r="H49" s="18">
        <v>0</v>
      </c>
      <c r="I49" s="18">
        <v>0</v>
      </c>
      <c r="J49" s="18">
        <v>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>
        <v>0</v>
      </c>
      <c r="H50" s="24" t="s">
        <v>312</v>
      </c>
      <c r="I50" s="18">
        <v>0</v>
      </c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4688705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150</f>
        <v>150</v>
      </c>
      <c r="G55" s="24" t="s">
        <v>312</v>
      </c>
      <c r="H55" s="18">
        <v>0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0</v>
      </c>
      <c r="G56" s="24" t="s">
        <v>312</v>
      </c>
      <c r="H56" s="18">
        <v>0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0</v>
      </c>
      <c r="G57" s="24" t="s">
        <v>312</v>
      </c>
      <c r="H57" s="18">
        <v>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0</v>
      </c>
      <c r="G58" s="24" t="s">
        <v>312</v>
      </c>
      <c r="H58" s="18">
        <v>0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>
        <v>0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0</v>
      </c>
      <c r="G61" s="24" t="s">
        <v>312</v>
      </c>
      <c r="H61" s="18">
        <v>0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>
        <v>0</v>
      </c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>
        <v>0</v>
      </c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0</v>
      </c>
      <c r="G65" s="24" t="s">
        <v>312</v>
      </c>
      <c r="H65" s="18">
        <v>0</v>
      </c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>
        <v>0</v>
      </c>
      <c r="G66" s="24" t="s">
        <v>312</v>
      </c>
      <c r="H66" s="18">
        <v>0</v>
      </c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0</v>
      </c>
      <c r="G68" s="24" t="s">
        <v>312</v>
      </c>
      <c r="H68" s="18">
        <v>0</v>
      </c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>
        <v>0</v>
      </c>
      <c r="G69" s="24" t="s">
        <v>312</v>
      </c>
      <c r="H69" s="18">
        <v>0</v>
      </c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0</v>
      </c>
      <c r="G70" s="24" t="s">
        <v>312</v>
      </c>
      <c r="H70" s="18">
        <v>0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150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66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f>2243.12+1504.35</f>
        <v>3747.47</v>
      </c>
      <c r="G75" s="24" t="s">
        <v>312</v>
      </c>
      <c r="H75" s="18">
        <v>0</v>
      </c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0</v>
      </c>
      <c r="G76" s="24" t="s">
        <v>312</v>
      </c>
      <c r="H76" s="18">
        <v>0</v>
      </c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0</v>
      </c>
      <c r="G78" s="24" t="s">
        <v>312</v>
      </c>
      <c r="H78" s="18">
        <v>0</v>
      </c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0</v>
      </c>
      <c r="G79" s="24" t="s">
        <v>312</v>
      </c>
      <c r="H79" s="18">
        <v>0</v>
      </c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>
        <v>0</v>
      </c>
      <c r="G80" s="24" t="s">
        <v>312</v>
      </c>
      <c r="H80" s="18">
        <v>0</v>
      </c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>
        <v>0</v>
      </c>
      <c r="G82" s="24" t="s">
        <v>312</v>
      </c>
      <c r="H82" s="18">
        <v>0</v>
      </c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>
        <v>0</v>
      </c>
      <c r="G83" s="24" t="s">
        <v>312</v>
      </c>
      <c r="H83" s="18">
        <v>0</v>
      </c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>
        <v>0</v>
      </c>
      <c r="G84" s="24" t="s">
        <v>312</v>
      </c>
      <c r="H84" s="18">
        <v>0</v>
      </c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0</v>
      </c>
      <c r="G85" s="24" t="s">
        <v>312</v>
      </c>
      <c r="H85" s="18">
        <v>0</v>
      </c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3747.47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f>2391.85-647.43</f>
        <v>1744.42</v>
      </c>
      <c r="G88" s="18">
        <v>0</v>
      </c>
      <c r="H88" s="18">
        <v>0</v>
      </c>
      <c r="I88" s="18">
        <v>0</v>
      </c>
      <c r="J88" s="18">
        <v>3365.48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62557.89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0</v>
      </c>
      <c r="G90" s="24" t="s">
        <v>312</v>
      </c>
      <c r="H90" s="18">
        <v>0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0</v>
      </c>
      <c r="G91" s="18">
        <v>0</v>
      </c>
      <c r="H91" s="18">
        <v>0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0</v>
      </c>
      <c r="G93" s="18">
        <v>0</v>
      </c>
      <c r="H93" s="18">
        <v>0</v>
      </c>
      <c r="I93" s="18">
        <v>0</v>
      </c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0</v>
      </c>
      <c r="G95" s="18">
        <v>0</v>
      </c>
      <c r="H95" s="18">
        <v>0</v>
      </c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0</v>
      </c>
      <c r="G96" s="24" t="s">
        <v>312</v>
      </c>
      <c r="H96" s="18">
        <v>0</v>
      </c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0</v>
      </c>
      <c r="G97" s="18">
        <v>0</v>
      </c>
      <c r="H97" s="18">
        <v>0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>
        <v>0</v>
      </c>
      <c r="G98" s="18">
        <v>0</v>
      </c>
      <c r="H98" s="18">
        <v>0</v>
      </c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0</v>
      </c>
      <c r="G99" s="18">
        <v>0</v>
      </c>
      <c r="H99" s="18">
        <v>0</v>
      </c>
      <c r="I99" s="18">
        <v>0</v>
      </c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0</v>
      </c>
      <c r="G100" s="18">
        <v>0</v>
      </c>
      <c r="H100" s="18">
        <v>0</v>
      </c>
      <c r="I100" s="18">
        <v>0</v>
      </c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0</v>
      </c>
      <c r="G101" s="18">
        <v>0</v>
      </c>
      <c r="H101" s="18">
        <v>0</v>
      </c>
      <c r="I101" s="18">
        <v>0</v>
      </c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1744.42</v>
      </c>
      <c r="G103" s="41">
        <f>SUM(G88:G102)</f>
        <v>62557.89</v>
      </c>
      <c r="H103" s="41">
        <f>SUM(H88:H102)</f>
        <v>0</v>
      </c>
      <c r="I103" s="41">
        <f>SUM(I88:I102)</f>
        <v>0</v>
      </c>
      <c r="J103" s="41">
        <f>SUM(J88:J102)</f>
        <v>3365.48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4694346.8899999997</v>
      </c>
      <c r="G104" s="41">
        <f>G52+G103</f>
        <v>62557.89</v>
      </c>
      <c r="H104" s="41">
        <f>H52+H71+H86+H103</f>
        <v>0</v>
      </c>
      <c r="I104" s="41">
        <f>I52+I103</f>
        <v>0</v>
      </c>
      <c r="J104" s="41">
        <f>J52+J103</f>
        <v>3365.48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1397497.17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2187894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50686.83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3636078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53340.88</v>
      </c>
      <c r="G115" s="24" t="s">
        <v>312</v>
      </c>
      <c r="H115" s="24" t="s">
        <v>312</v>
      </c>
      <c r="I115" s="18">
        <v>0</v>
      </c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0</v>
      </c>
      <c r="G116" s="24"/>
      <c r="H116" s="24"/>
      <c r="I116" s="18">
        <v>0</v>
      </c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28363.29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0</v>
      </c>
      <c r="G119" s="24" t="s">
        <v>312</v>
      </c>
      <c r="H119" s="18">
        <v>0</v>
      </c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0</v>
      </c>
      <c r="G120" s="24" t="s">
        <v>312</v>
      </c>
      <c r="H120" s="18">
        <v>0</v>
      </c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>
        <v>0</v>
      </c>
      <c r="G121" s="24" t="s">
        <v>312</v>
      </c>
      <c r="H121" s="18">
        <v>0</v>
      </c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>
        <v>0</v>
      </c>
      <c r="G122" s="24" t="s">
        <v>312</v>
      </c>
      <c r="H122" s="18">
        <v>0</v>
      </c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>
        <v>0</v>
      </c>
      <c r="G123" s="24" t="s">
        <v>312</v>
      </c>
      <c r="H123" s="18">
        <v>0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2241.98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0</v>
      </c>
      <c r="G125" s="24" t="s">
        <v>312</v>
      </c>
      <c r="H125" s="18">
        <v>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>
        <v>0</v>
      </c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81704.17</v>
      </c>
      <c r="G128" s="41">
        <f>SUM(G115:G127)</f>
        <v>2241.98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>
        <v>0</v>
      </c>
      <c r="G129" s="18">
        <v>0</v>
      </c>
      <c r="H129" s="18">
        <v>0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>
        <v>0</v>
      </c>
      <c r="G130" s="24" t="s">
        <v>312</v>
      </c>
      <c r="H130" s="18">
        <v>0</v>
      </c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3717782.17</v>
      </c>
      <c r="G132" s="41">
        <f>G113+SUM(G128:G129)</f>
        <v>2241.98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69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0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0</v>
      </c>
      <c r="G137" s="18">
        <v>0</v>
      </c>
      <c r="H137" s="18">
        <v>0</v>
      </c>
      <c r="I137" s="18">
        <v>0</v>
      </c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0</v>
      </c>
      <c r="G138" s="18">
        <v>0</v>
      </c>
      <c r="H138" s="18">
        <v>0</v>
      </c>
      <c r="I138" s="18">
        <v>0</v>
      </c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>
        <v>0</v>
      </c>
      <c r="G142" s="24" t="s">
        <v>312</v>
      </c>
      <c r="H142" s="18">
        <v>0</v>
      </c>
      <c r="I142" s="18">
        <v>0</v>
      </c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>
        <v>0</v>
      </c>
      <c r="G143" s="24" t="s">
        <v>312</v>
      </c>
      <c r="H143" s="18">
        <v>0</v>
      </c>
      <c r="I143" s="18">
        <v>0</v>
      </c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>
        <v>0</v>
      </c>
      <c r="G144" s="24" t="s">
        <v>312</v>
      </c>
      <c r="H144" s="18">
        <v>0</v>
      </c>
      <c r="I144" s="18">
        <v>0</v>
      </c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10128.72+48643.49+135149.68+180245.85</f>
        <v>374167.74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475414.67-H146+7569.47</f>
        <v>108816.4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0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>
        <v>0</v>
      </c>
      <c r="G149" s="24" t="s">
        <v>312</v>
      </c>
      <c r="H149" s="18">
        <v>0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80998.7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0</v>
      </c>
      <c r="G151" s="24" t="s">
        <v>312</v>
      </c>
      <c r="H151" s="18">
        <v>0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55497.39</v>
      </c>
      <c r="G152" s="24" t="s">
        <v>312</v>
      </c>
      <c r="H152" s="18">
        <v>0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0</v>
      </c>
      <c r="G153" s="18">
        <v>7569.47</v>
      </c>
      <c r="H153" s="18">
        <v>0</v>
      </c>
      <c r="I153" s="18">
        <v>0</v>
      </c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55497.39</v>
      </c>
      <c r="G154" s="41">
        <f>SUM(G142:G153)</f>
        <v>88568.17</v>
      </c>
      <c r="H154" s="41">
        <f>SUM(H142:H153)</f>
        <v>482984.14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>
        <v>0</v>
      </c>
      <c r="G155" s="18">
        <v>0</v>
      </c>
      <c r="H155" s="18">
        <v>0</v>
      </c>
      <c r="I155" s="18">
        <v>0</v>
      </c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0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0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0</v>
      </c>
      <c r="G160" s="18">
        <v>0</v>
      </c>
      <c r="H160" s="18">
        <v>0</v>
      </c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55497.39</v>
      </c>
      <c r="G161" s="41">
        <f>G139+G154+SUM(G155:G160)</f>
        <v>88568.17</v>
      </c>
      <c r="H161" s="41">
        <f>H139+H154+SUM(H155:H160)</f>
        <v>482984.14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69"/>
      <c r="B162" s="36"/>
      <c r="C162" s="74"/>
      <c r="D162" s="74"/>
      <c r="E162" s="74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0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0</v>
      </c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0</v>
      </c>
      <c r="G166" s="24" t="s">
        <v>312</v>
      </c>
      <c r="H166" s="24" t="s">
        <v>312</v>
      </c>
      <c r="I166" s="18">
        <v>0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>
        <v>0</v>
      </c>
      <c r="G167" s="24" t="s">
        <v>312</v>
      </c>
      <c r="H167" s="24" t="s">
        <v>312</v>
      </c>
      <c r="I167" s="18">
        <v>0</v>
      </c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0</v>
      </c>
      <c r="G168" s="24" t="s">
        <v>312</v>
      </c>
      <c r="H168" s="24" t="s">
        <v>312</v>
      </c>
      <c r="I168" s="18">
        <v>0</v>
      </c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80067.350000000006</v>
      </c>
      <c r="H171" s="18">
        <v>0</v>
      </c>
      <c r="I171" s="18">
        <v>0</v>
      </c>
      <c r="J171" s="18">
        <v>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>
        <v>0</v>
      </c>
      <c r="I172" s="18">
        <v>0</v>
      </c>
      <c r="J172" s="18">
        <v>0</v>
      </c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0</v>
      </c>
      <c r="G173" s="18">
        <v>0</v>
      </c>
      <c r="H173" s="24" t="s">
        <v>312</v>
      </c>
      <c r="I173" s="18">
        <v>0</v>
      </c>
      <c r="J173" s="18">
        <v>0</v>
      </c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0</v>
      </c>
      <c r="G174" s="18">
        <v>0</v>
      </c>
      <c r="H174" s="18">
        <v>0</v>
      </c>
      <c r="I174" s="24" t="s">
        <v>312</v>
      </c>
      <c r="J174" s="18">
        <v>0</v>
      </c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80067.350000000006</v>
      </c>
      <c r="H175" s="41">
        <f>SUM(H171:H174)</f>
        <v>0</v>
      </c>
      <c r="I175" s="41">
        <f>SUM(I171:I174)</f>
        <v>0</v>
      </c>
      <c r="J175" s="41">
        <f>SUM(J171:J174)</f>
        <v>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>
        <v>0</v>
      </c>
      <c r="H177" s="18">
        <v>0</v>
      </c>
      <c r="I177" s="18">
        <v>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>
        <v>0</v>
      </c>
      <c r="H178" s="18">
        <v>0</v>
      </c>
      <c r="I178" s="18">
        <v>0</v>
      </c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0</v>
      </c>
      <c r="G179" s="18">
        <v>0</v>
      </c>
      <c r="H179" s="18">
        <v>0</v>
      </c>
      <c r="I179" s="18">
        <v>0</v>
      </c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0</v>
      </c>
      <c r="G181" s="18">
        <v>0</v>
      </c>
      <c r="H181" s="18">
        <v>0</v>
      </c>
      <c r="I181" s="18">
        <v>0</v>
      </c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>
        <v>0</v>
      </c>
      <c r="G182" s="18">
        <v>0</v>
      </c>
      <c r="H182" s="18">
        <v>0</v>
      </c>
      <c r="I182" s="18">
        <v>0</v>
      </c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>
        <v>0</v>
      </c>
      <c r="G183" s="18">
        <v>0</v>
      </c>
      <c r="H183" s="18">
        <v>0</v>
      </c>
      <c r="I183" s="18">
        <v>0</v>
      </c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2" t="s">
        <v>454</v>
      </c>
      <c r="E184" s="51">
        <v>5000</v>
      </c>
      <c r="F184" s="41">
        <f>F169+F175+SUM(F180:F183)</f>
        <v>0</v>
      </c>
      <c r="G184" s="41">
        <f>G175+SUM(G180:G183)</f>
        <v>80067.350000000006</v>
      </c>
      <c r="H184" s="41">
        <f>+H175+SUM(H180:H183)</f>
        <v>0</v>
      </c>
      <c r="I184" s="41">
        <f>I169+I175+SUM(I180:I183)</f>
        <v>0</v>
      </c>
      <c r="J184" s="41">
        <f>J175</f>
        <v>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3" t="s">
        <v>454</v>
      </c>
      <c r="E185" s="44"/>
      <c r="F185" s="47">
        <f>F104+F132+F161+F184</f>
        <v>8467626.4499999993</v>
      </c>
      <c r="G185" s="47">
        <f>G104+G132+G161+G184</f>
        <v>233435.39</v>
      </c>
      <c r="H185" s="47">
        <f>H104+H132+H161+H184</f>
        <v>482984.14</v>
      </c>
      <c r="I185" s="47">
        <f>I104+I132+I161+I184</f>
        <v>0</v>
      </c>
      <c r="J185" s="47">
        <f>J104+J132+J184</f>
        <v>53365.48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3" t="s">
        <v>724</v>
      </c>
      <c r="G186" s="173" t="s">
        <v>725</v>
      </c>
      <c r="H186" s="173" t="s">
        <v>726</v>
      </c>
      <c r="I186" s="173" t="s">
        <v>727</v>
      </c>
      <c r="J186" s="173" t="s">
        <v>728</v>
      </c>
      <c r="K186" s="173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2" t="s">
        <v>54</v>
      </c>
      <c r="G187" s="102" t="s">
        <v>55</v>
      </c>
      <c r="H187" s="102" t="s">
        <v>56</v>
      </c>
      <c r="I187" s="102" t="s">
        <v>57</v>
      </c>
      <c r="J187" s="102" t="s">
        <v>58</v>
      </c>
      <c r="K187" s="102" t="s">
        <v>59</v>
      </c>
      <c r="L187" s="102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1517925.55</v>
      </c>
      <c r="G189" s="18">
        <v>649344.28</v>
      </c>
      <c r="H189" s="18">
        <v>689.5</v>
      </c>
      <c r="I189" s="18">
        <v>60544.75</v>
      </c>
      <c r="J189" s="18">
        <v>2503.29</v>
      </c>
      <c r="K189" s="18">
        <v>363</v>
      </c>
      <c r="L189" s="19">
        <f>SUM(F189:K189)</f>
        <v>2231370.37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565578.03</v>
      </c>
      <c r="G190" s="18">
        <v>142898.79</v>
      </c>
      <c r="H190" s="18">
        <v>769446.61</v>
      </c>
      <c r="I190" s="18">
        <v>2618.0500000000002</v>
      </c>
      <c r="J190" s="18">
        <v>1647.21</v>
      </c>
      <c r="K190" s="18">
        <v>0</v>
      </c>
      <c r="L190" s="19">
        <f>SUM(F190:K190)</f>
        <v>1482188.6900000002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10196</v>
      </c>
      <c r="G192" s="18">
        <v>1741.87</v>
      </c>
      <c r="H192" s="18">
        <v>12581.01</v>
      </c>
      <c r="I192" s="18">
        <v>3277.5</v>
      </c>
      <c r="J192" s="18">
        <v>0</v>
      </c>
      <c r="K192" s="18">
        <v>200</v>
      </c>
      <c r="L192" s="19">
        <f>SUM(F192:K192)</f>
        <v>27996.379999999997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201050.94</v>
      </c>
      <c r="G194" s="18">
        <v>64691.02</v>
      </c>
      <c r="H194" s="18">
        <v>8520.52</v>
      </c>
      <c r="I194" s="18">
        <v>2147.7600000000002</v>
      </c>
      <c r="J194" s="18">
        <v>0</v>
      </c>
      <c r="K194" s="18">
        <v>155</v>
      </c>
      <c r="L194" s="19">
        <f>SUM(F194:K194)</f>
        <v>276565.24000000005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51817.49</v>
      </c>
      <c r="G195" s="18">
        <v>25016.19</v>
      </c>
      <c r="H195" s="18">
        <v>11359.31</v>
      </c>
      <c r="I195" s="18">
        <v>8901.34</v>
      </c>
      <c r="J195" s="18">
        <v>1548.31</v>
      </c>
      <c r="K195" s="18">
        <v>0</v>
      </c>
      <c r="L195" s="19">
        <f t="shared" ref="L195:L200" si="0">SUM(F195:K195)</f>
        <v>98642.639999999985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10818.29</v>
      </c>
      <c r="G196" s="18">
        <v>827.61</v>
      </c>
      <c r="H196" s="18">
        <v>484104.59</v>
      </c>
      <c r="I196" s="18">
        <v>0</v>
      </c>
      <c r="J196" s="18">
        <v>0</v>
      </c>
      <c r="K196" s="18">
        <v>4065.44</v>
      </c>
      <c r="L196" s="19">
        <f t="shared" si="0"/>
        <v>499815.93000000005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173336.58</v>
      </c>
      <c r="G197" s="18">
        <v>74613.55</v>
      </c>
      <c r="H197" s="18">
        <v>40380.080000000002</v>
      </c>
      <c r="I197" s="18">
        <v>511.07</v>
      </c>
      <c r="J197" s="18">
        <v>0</v>
      </c>
      <c r="K197" s="18">
        <v>2445.15</v>
      </c>
      <c r="L197" s="19">
        <f t="shared" si="0"/>
        <v>291286.43000000005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94666.1</v>
      </c>
      <c r="G199" s="18">
        <v>27674.65</v>
      </c>
      <c r="H199" s="18">
        <v>188812.23</v>
      </c>
      <c r="I199" s="18">
        <v>122284.37</v>
      </c>
      <c r="J199" s="18">
        <v>8504.4599999999991</v>
      </c>
      <c r="K199" s="18">
        <v>0</v>
      </c>
      <c r="L199" s="19">
        <f t="shared" si="0"/>
        <v>441941.81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130745.56</v>
      </c>
      <c r="G200" s="18">
        <v>36078.01</v>
      </c>
      <c r="H200" s="18">
        <v>117835.52</v>
      </c>
      <c r="I200" s="18">
        <v>53390.18</v>
      </c>
      <c r="J200" s="18">
        <v>2324.7399999999998</v>
      </c>
      <c r="K200" s="18">
        <v>3470.99</v>
      </c>
      <c r="L200" s="19">
        <f t="shared" si="0"/>
        <v>343845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23788</v>
      </c>
      <c r="G201" s="18">
        <v>2241.27</v>
      </c>
      <c r="H201" s="18">
        <v>9996.57</v>
      </c>
      <c r="I201" s="18">
        <v>0</v>
      </c>
      <c r="J201" s="18">
        <v>5752.84</v>
      </c>
      <c r="K201" s="18">
        <v>0</v>
      </c>
      <c r="L201" s="19">
        <f>SUM(F201:K201)</f>
        <v>41778.679999999993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2779922.5400000005</v>
      </c>
      <c r="G203" s="41">
        <f t="shared" si="1"/>
        <v>1025127.2400000001</v>
      </c>
      <c r="H203" s="41">
        <f t="shared" si="1"/>
        <v>1643725.9400000002</v>
      </c>
      <c r="I203" s="41">
        <f t="shared" si="1"/>
        <v>253675.02</v>
      </c>
      <c r="J203" s="41">
        <f t="shared" si="1"/>
        <v>22280.85</v>
      </c>
      <c r="K203" s="41">
        <f t="shared" si="1"/>
        <v>10699.58</v>
      </c>
      <c r="L203" s="41">
        <f t="shared" si="1"/>
        <v>5735431.1699999999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3" t="s">
        <v>724</v>
      </c>
      <c r="G204" s="173" t="s">
        <v>725</v>
      </c>
      <c r="H204" s="173" t="s">
        <v>726</v>
      </c>
      <c r="I204" s="173" t="s">
        <v>727</v>
      </c>
      <c r="J204" s="173" t="s">
        <v>728</v>
      </c>
      <c r="K204" s="173" t="s">
        <v>729</v>
      </c>
      <c r="L204" s="66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2" t="s">
        <v>54</v>
      </c>
      <c r="G205" s="102" t="s">
        <v>55</v>
      </c>
      <c r="H205" s="102" t="s">
        <v>56</v>
      </c>
      <c r="I205" s="102" t="s">
        <v>57</v>
      </c>
      <c r="J205" s="102" t="s">
        <v>58</v>
      </c>
      <c r="K205" s="102" t="s">
        <v>59</v>
      </c>
      <c r="L205" s="102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0</v>
      </c>
      <c r="G212" s="18">
        <v>0</v>
      </c>
      <c r="H212" s="18">
        <v>0</v>
      </c>
      <c r="I212" s="18">
        <v>0</v>
      </c>
      <c r="J212" s="18">
        <v>0</v>
      </c>
      <c r="K212" s="18">
        <v>0</v>
      </c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4"/>
      <c r="D222" s="74"/>
      <c r="E222" s="74"/>
      <c r="F222" s="173" t="s">
        <v>724</v>
      </c>
      <c r="G222" s="173" t="s">
        <v>725</v>
      </c>
      <c r="H222" s="173" t="s">
        <v>726</v>
      </c>
      <c r="I222" s="173" t="s">
        <v>727</v>
      </c>
      <c r="J222" s="173" t="s">
        <v>728</v>
      </c>
      <c r="K222" s="173" t="s">
        <v>729</v>
      </c>
      <c r="L222" s="66"/>
      <c r="M222" s="8"/>
    </row>
    <row r="223" spans="1:13" s="3" customFormat="1" ht="12" customHeight="1" x14ac:dyDescent="0.15">
      <c r="A223" s="29" t="s">
        <v>477</v>
      </c>
      <c r="F223" s="102" t="s">
        <v>54</v>
      </c>
      <c r="G223" s="102" t="s">
        <v>55</v>
      </c>
      <c r="H223" s="102" t="s">
        <v>56</v>
      </c>
      <c r="I223" s="102" t="s">
        <v>57</v>
      </c>
      <c r="J223" s="102" t="s">
        <v>58</v>
      </c>
      <c r="K223" s="102" t="s">
        <v>59</v>
      </c>
      <c r="L223" s="102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0</v>
      </c>
      <c r="G225" s="18">
        <v>0</v>
      </c>
      <c r="H225" s="18">
        <v>2149633.2799999998</v>
      </c>
      <c r="I225" s="18">
        <v>0</v>
      </c>
      <c r="J225" s="18">
        <v>0</v>
      </c>
      <c r="K225" s="18">
        <v>0</v>
      </c>
      <c r="L225" s="19">
        <f>SUM(F225:K225)</f>
        <v>2149633.2799999998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0</v>
      </c>
      <c r="G226" s="18">
        <v>0</v>
      </c>
      <c r="H226" s="18">
        <v>97196.31</v>
      </c>
      <c r="I226" s="18">
        <v>0</v>
      </c>
      <c r="J226" s="18">
        <v>0</v>
      </c>
      <c r="K226" s="18">
        <v>0</v>
      </c>
      <c r="L226" s="19">
        <f>SUM(F226:K226)</f>
        <v>97196.31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0</v>
      </c>
      <c r="G228" s="18">
        <v>0</v>
      </c>
      <c r="H228" s="18">
        <v>0</v>
      </c>
      <c r="I228" s="18">
        <v>0</v>
      </c>
      <c r="J228" s="18">
        <v>0</v>
      </c>
      <c r="K228" s="18">
        <v>0</v>
      </c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0</v>
      </c>
      <c r="G231" s="18">
        <v>0</v>
      </c>
      <c r="H231" s="18">
        <v>0</v>
      </c>
      <c r="I231" s="18">
        <v>0</v>
      </c>
      <c r="J231" s="18">
        <v>0</v>
      </c>
      <c r="K231" s="18">
        <v>0</v>
      </c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66378.509999999995</v>
      </c>
      <c r="G236" s="18">
        <v>18316.52</v>
      </c>
      <c r="H236" s="18">
        <v>59824.18</v>
      </c>
      <c r="I236" s="18">
        <v>27105.79</v>
      </c>
      <c r="J236" s="18">
        <v>1180.26</v>
      </c>
      <c r="K236" s="18">
        <v>1762.2</v>
      </c>
      <c r="L236" s="19">
        <f t="shared" si="4"/>
        <v>174567.46000000002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66378.509999999995</v>
      </c>
      <c r="G239" s="41">
        <f t="shared" si="5"/>
        <v>18316.52</v>
      </c>
      <c r="H239" s="41">
        <f t="shared" si="5"/>
        <v>2306653.77</v>
      </c>
      <c r="I239" s="41">
        <f t="shared" si="5"/>
        <v>27105.79</v>
      </c>
      <c r="J239" s="41">
        <f t="shared" si="5"/>
        <v>1180.26</v>
      </c>
      <c r="K239" s="41">
        <f t="shared" si="5"/>
        <v>1762.2</v>
      </c>
      <c r="L239" s="41">
        <f t="shared" si="5"/>
        <v>2421397.0499999998</v>
      </c>
      <c r="M239" s="8"/>
    </row>
    <row r="240" spans="1:13" s="3" customFormat="1" ht="12" customHeight="1" x14ac:dyDescent="0.15">
      <c r="A240" s="69"/>
      <c r="B240" s="36"/>
      <c r="C240" s="37"/>
      <c r="D240" s="37"/>
      <c r="E240" s="37"/>
      <c r="F240" s="173" t="s">
        <v>724</v>
      </c>
      <c r="G240" s="173" t="s">
        <v>725</v>
      </c>
      <c r="H240" s="173" t="s">
        <v>726</v>
      </c>
      <c r="I240" s="173" t="s">
        <v>727</v>
      </c>
      <c r="J240" s="173" t="s">
        <v>728</v>
      </c>
      <c r="K240" s="173" t="s">
        <v>729</v>
      </c>
      <c r="L240" s="66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2" t="s">
        <v>54</v>
      </c>
      <c r="G241" s="102" t="s">
        <v>55</v>
      </c>
      <c r="H241" s="102" t="s">
        <v>56</v>
      </c>
      <c r="I241" s="102" t="s">
        <v>57</v>
      </c>
      <c r="J241" s="102" t="s">
        <v>58</v>
      </c>
      <c r="K241" s="102" t="s">
        <v>59</v>
      </c>
      <c r="L241" s="102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>
        <v>0</v>
      </c>
      <c r="G246" s="18">
        <v>0</v>
      </c>
      <c r="H246" s="18">
        <v>0</v>
      </c>
      <c r="I246" s="18">
        <v>0</v>
      </c>
      <c r="J246" s="18">
        <v>0</v>
      </c>
      <c r="K246" s="18">
        <v>0</v>
      </c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>
        <v>0</v>
      </c>
      <c r="G247" s="18">
        <v>0</v>
      </c>
      <c r="H247" s="18">
        <v>0</v>
      </c>
      <c r="I247" s="18">
        <v>0</v>
      </c>
      <c r="J247" s="18">
        <v>0</v>
      </c>
      <c r="K247" s="18">
        <v>0</v>
      </c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2846301.0500000003</v>
      </c>
      <c r="G249" s="41">
        <f t="shared" si="8"/>
        <v>1043443.7600000001</v>
      </c>
      <c r="H249" s="41">
        <f t="shared" si="8"/>
        <v>3950379.71</v>
      </c>
      <c r="I249" s="41">
        <f t="shared" si="8"/>
        <v>280780.81</v>
      </c>
      <c r="J249" s="41">
        <f t="shared" si="8"/>
        <v>23461.109999999997</v>
      </c>
      <c r="K249" s="41">
        <f t="shared" si="8"/>
        <v>12461.78</v>
      </c>
      <c r="L249" s="41">
        <f t="shared" si="8"/>
        <v>8156828.2199999997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160000</v>
      </c>
      <c r="L252" s="19">
        <f>SUM(F252:K252)</f>
        <v>160000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20290</v>
      </c>
      <c r="L253" s="19">
        <f>SUM(F253:K253)</f>
        <v>20290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80067.350000000006</v>
      </c>
      <c r="L255" s="19">
        <f>SUM(F255:K255)</f>
        <v>80067.350000000006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50000</v>
      </c>
      <c r="L258" s="19">
        <f t="shared" si="9"/>
        <v>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0</v>
      </c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0</v>
      </c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310357.34999999998</v>
      </c>
      <c r="L262" s="41">
        <f t="shared" si="9"/>
        <v>310357.34999999998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2846301.0500000003</v>
      </c>
      <c r="G263" s="42">
        <f t="shared" si="11"/>
        <v>1043443.7600000001</v>
      </c>
      <c r="H263" s="42">
        <f t="shared" si="11"/>
        <v>3950379.71</v>
      </c>
      <c r="I263" s="42">
        <f t="shared" si="11"/>
        <v>280780.81</v>
      </c>
      <c r="J263" s="42">
        <f t="shared" si="11"/>
        <v>23461.109999999997</v>
      </c>
      <c r="K263" s="42">
        <f t="shared" si="11"/>
        <v>322819.13</v>
      </c>
      <c r="L263" s="42">
        <f t="shared" si="11"/>
        <v>8467185.5700000003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3" t="s">
        <v>724</v>
      </c>
      <c r="G265" s="173" t="s">
        <v>725</v>
      </c>
      <c r="H265" s="173" t="s">
        <v>726</v>
      </c>
      <c r="I265" s="173" t="s">
        <v>727</v>
      </c>
      <c r="J265" s="173" t="s">
        <v>728</v>
      </c>
      <c r="K265" s="173" t="s">
        <v>729</v>
      </c>
      <c r="M265" s="8"/>
    </row>
    <row r="266" spans="1:13" s="34" customFormat="1" ht="12" customHeight="1" x14ac:dyDescent="0.15">
      <c r="A266" s="29" t="s">
        <v>475</v>
      </c>
      <c r="F266" s="102" t="s">
        <v>54</v>
      </c>
      <c r="G266" s="102" t="s">
        <v>55</v>
      </c>
      <c r="H266" s="102" t="s">
        <v>56</v>
      </c>
      <c r="I266" s="102" t="s">
        <v>57</v>
      </c>
      <c r="J266" s="102" t="s">
        <v>58</v>
      </c>
      <c r="K266" s="102" t="s">
        <v>59</v>
      </c>
      <c r="L266" s="102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203806.03</v>
      </c>
      <c r="G268" s="18">
        <v>79695.120000000054</v>
      </c>
      <c r="H268" s="18">
        <v>34220.1</v>
      </c>
      <c r="I268" s="18">
        <v>29488.240000000002</v>
      </c>
      <c r="J268" s="18">
        <v>12769.5</v>
      </c>
      <c r="K268" s="18">
        <v>0</v>
      </c>
      <c r="L268" s="19">
        <f>SUM(F268:K268)</f>
        <v>359978.99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0</v>
      </c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>
        <v>0</v>
      </c>
      <c r="H273" s="18">
        <v>0</v>
      </c>
      <c r="I273" s="18">
        <v>0</v>
      </c>
      <c r="J273" s="18">
        <v>0</v>
      </c>
      <c r="K273" s="18">
        <v>0</v>
      </c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0</v>
      </c>
      <c r="G274" s="18">
        <v>0</v>
      </c>
      <c r="H274" s="18">
        <v>85172.04</v>
      </c>
      <c r="I274" s="18">
        <v>22005.34</v>
      </c>
      <c r="J274" s="18">
        <v>0</v>
      </c>
      <c r="K274" s="18">
        <v>0</v>
      </c>
      <c r="L274" s="19">
        <f t="shared" si="12"/>
        <v>107177.37999999999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0</v>
      </c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15827.77</v>
      </c>
      <c r="L277" s="19">
        <f t="shared" si="12"/>
        <v>15827.77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203806.03</v>
      </c>
      <c r="G282" s="42">
        <f t="shared" si="13"/>
        <v>79695.120000000054</v>
      </c>
      <c r="H282" s="42">
        <f t="shared" si="13"/>
        <v>119392.13999999998</v>
      </c>
      <c r="I282" s="42">
        <f t="shared" si="13"/>
        <v>51493.58</v>
      </c>
      <c r="J282" s="42">
        <f t="shared" si="13"/>
        <v>12769.5</v>
      </c>
      <c r="K282" s="42">
        <f t="shared" si="13"/>
        <v>15827.77</v>
      </c>
      <c r="L282" s="41">
        <f t="shared" si="13"/>
        <v>482984.14</v>
      </c>
      <c r="M282" s="8"/>
    </row>
    <row r="283" spans="1:13" s="3" customFormat="1" ht="12" customHeight="1" x14ac:dyDescent="0.2">
      <c r="A283" s="69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6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3" t="s">
        <v>724</v>
      </c>
      <c r="G284" s="173" t="s">
        <v>725</v>
      </c>
      <c r="H284" s="173" t="s">
        <v>726</v>
      </c>
      <c r="I284" s="173" t="s">
        <v>727</v>
      </c>
      <c r="J284" s="173" t="s">
        <v>728</v>
      </c>
      <c r="K284" s="173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2" t="s">
        <v>54</v>
      </c>
      <c r="G285" s="102" t="s">
        <v>55</v>
      </c>
      <c r="H285" s="102" t="s">
        <v>56</v>
      </c>
      <c r="I285" s="102" t="s">
        <v>57</v>
      </c>
      <c r="J285" s="102" t="s">
        <v>58</v>
      </c>
      <c r="K285" s="102" t="s">
        <v>59</v>
      </c>
      <c r="L285" s="102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0</v>
      </c>
      <c r="G289" s="18">
        <v>0</v>
      </c>
      <c r="H289" s="18">
        <v>0</v>
      </c>
      <c r="I289" s="18">
        <v>0</v>
      </c>
      <c r="J289" s="18">
        <v>0</v>
      </c>
      <c r="K289" s="18">
        <v>0</v>
      </c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18">
        <v>0</v>
      </c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0</v>
      </c>
      <c r="G293" s="18">
        <v>0</v>
      </c>
      <c r="H293" s="18">
        <v>0</v>
      </c>
      <c r="I293" s="18">
        <v>0</v>
      </c>
      <c r="J293" s="18">
        <v>0</v>
      </c>
      <c r="K293" s="18">
        <v>0</v>
      </c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69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6"/>
      <c r="M302" s="8"/>
    </row>
    <row r="303" spans="1:13" ht="12" customHeight="1" x14ac:dyDescent="0.2">
      <c r="A303" s="29" t="s">
        <v>490</v>
      </c>
      <c r="F303" s="173" t="s">
        <v>724</v>
      </c>
      <c r="G303" s="173" t="s">
        <v>725</v>
      </c>
      <c r="H303" s="173" t="s">
        <v>726</v>
      </c>
      <c r="I303" s="173" t="s">
        <v>727</v>
      </c>
      <c r="J303" s="173" t="s">
        <v>728</v>
      </c>
      <c r="K303" s="173" t="s">
        <v>729</v>
      </c>
    </row>
    <row r="304" spans="1:13" s="3" customFormat="1" ht="12" customHeight="1" x14ac:dyDescent="0.15">
      <c r="A304" s="29" t="s">
        <v>477</v>
      </c>
      <c r="F304" s="102" t="s">
        <v>54</v>
      </c>
      <c r="G304" s="102" t="s">
        <v>55</v>
      </c>
      <c r="H304" s="102" t="s">
        <v>56</v>
      </c>
      <c r="I304" s="102" t="s">
        <v>57</v>
      </c>
      <c r="J304" s="102" t="s">
        <v>58</v>
      </c>
      <c r="K304" s="102" t="s">
        <v>59</v>
      </c>
      <c r="L304" s="102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0</v>
      </c>
      <c r="G308" s="18">
        <v>0</v>
      </c>
      <c r="H308" s="18">
        <v>0</v>
      </c>
      <c r="I308" s="18">
        <v>0</v>
      </c>
      <c r="J308" s="18">
        <v>0</v>
      </c>
      <c r="K308" s="18">
        <v>0</v>
      </c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0</v>
      </c>
      <c r="G309" s="18">
        <v>0</v>
      </c>
      <c r="H309" s="18">
        <v>0</v>
      </c>
      <c r="I309" s="18">
        <v>0</v>
      </c>
      <c r="J309" s="18">
        <v>0</v>
      </c>
      <c r="K309" s="18">
        <v>0</v>
      </c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69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6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3" t="s">
        <v>724</v>
      </c>
      <c r="G322" s="173" t="s">
        <v>725</v>
      </c>
      <c r="H322" s="173" t="s">
        <v>726</v>
      </c>
      <c r="I322" s="173" t="s">
        <v>727</v>
      </c>
      <c r="J322" s="173" t="s">
        <v>728</v>
      </c>
      <c r="K322" s="173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2" t="s">
        <v>54</v>
      </c>
      <c r="G323" s="102" t="s">
        <v>55</v>
      </c>
      <c r="H323" s="102" t="s">
        <v>56</v>
      </c>
      <c r="I323" s="102" t="s">
        <v>57</v>
      </c>
      <c r="J323" s="102" t="s">
        <v>58</v>
      </c>
      <c r="K323" s="102" t="s">
        <v>59</v>
      </c>
      <c r="L323" s="102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203806.03</v>
      </c>
      <c r="G330" s="41">
        <f t="shared" si="20"/>
        <v>79695.120000000054</v>
      </c>
      <c r="H330" s="41">
        <f t="shared" si="20"/>
        <v>119392.13999999998</v>
      </c>
      <c r="I330" s="41">
        <f t="shared" si="20"/>
        <v>51493.58</v>
      </c>
      <c r="J330" s="41">
        <f t="shared" si="20"/>
        <v>12769.5</v>
      </c>
      <c r="K330" s="41">
        <f t="shared" si="20"/>
        <v>15827.77</v>
      </c>
      <c r="L330" s="41">
        <f t="shared" si="20"/>
        <v>482984.14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>
        <v>0</v>
      </c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>
        <v>0</v>
      </c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0</v>
      </c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>
        <v>0</v>
      </c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>
        <v>0</v>
      </c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>
        <v>0</v>
      </c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>
        <v>0</v>
      </c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>
        <v>0</v>
      </c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203806.03</v>
      </c>
      <c r="G344" s="41">
        <f>G330</f>
        <v>79695.120000000054</v>
      </c>
      <c r="H344" s="41">
        <f>H330</f>
        <v>119392.13999999998</v>
      </c>
      <c r="I344" s="41">
        <f>I330</f>
        <v>51493.58</v>
      </c>
      <c r="J344" s="41">
        <f>J330</f>
        <v>12769.5</v>
      </c>
      <c r="K344" s="47">
        <f>K330+K343</f>
        <v>15827.77</v>
      </c>
      <c r="L344" s="41">
        <f>L330+L343</f>
        <v>482984.14</v>
      </c>
      <c r="M344" s="8"/>
    </row>
    <row r="345" spans="1:43" s="3" customFormat="1" ht="12" customHeight="1" x14ac:dyDescent="0.15">
      <c r="A345" s="69"/>
      <c r="B345" s="37"/>
      <c r="C345" s="23"/>
      <c r="D345" s="23"/>
      <c r="E345" s="23"/>
      <c r="F345" s="66"/>
      <c r="G345" s="66"/>
      <c r="H345" s="66"/>
      <c r="I345" s="66"/>
      <c r="J345" s="66"/>
      <c r="K345" s="56"/>
      <c r="L345" s="66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3" t="s">
        <v>724</v>
      </c>
      <c r="G346" s="173" t="s">
        <v>725</v>
      </c>
      <c r="H346" s="173" t="s">
        <v>726</v>
      </c>
      <c r="I346" s="173" t="s">
        <v>727</v>
      </c>
      <c r="J346" s="173" t="s">
        <v>728</v>
      </c>
      <c r="K346" s="173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2" t="s">
        <v>54</v>
      </c>
      <c r="G347" s="102" t="s">
        <v>55</v>
      </c>
      <c r="H347" s="102" t="s">
        <v>56</v>
      </c>
      <c r="I347" s="102" t="s">
        <v>57</v>
      </c>
      <c r="J347" s="102" t="s">
        <v>58</v>
      </c>
      <c r="K347" s="102" t="s">
        <v>59</v>
      </c>
      <c r="L347" s="102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92265.279999999999</v>
      </c>
      <c r="G350" s="18">
        <v>18285.740000000002</v>
      </c>
      <c r="H350" s="18">
        <v>11796.23</v>
      </c>
      <c r="I350" s="18">
        <v>100002.3</v>
      </c>
      <c r="J350" s="18">
        <v>11085.84</v>
      </c>
      <c r="K350" s="18">
        <v>0</v>
      </c>
      <c r="L350" s="13">
        <f>SUM(F350:K350)</f>
        <v>233435.38999999998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0</v>
      </c>
      <c r="G351" s="18">
        <v>0</v>
      </c>
      <c r="H351" s="18">
        <v>0</v>
      </c>
      <c r="I351" s="18">
        <v>0</v>
      </c>
      <c r="J351" s="18">
        <v>0</v>
      </c>
      <c r="K351" s="18">
        <v>0</v>
      </c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0</v>
      </c>
      <c r="G352" s="18">
        <v>0</v>
      </c>
      <c r="H352" s="18">
        <v>0</v>
      </c>
      <c r="I352" s="18">
        <v>0</v>
      </c>
      <c r="J352" s="18">
        <v>0</v>
      </c>
      <c r="K352" s="18">
        <v>0</v>
      </c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>
        <v>0</v>
      </c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92265.279999999999</v>
      </c>
      <c r="G354" s="47">
        <f t="shared" si="22"/>
        <v>18285.740000000002</v>
      </c>
      <c r="H354" s="47">
        <f t="shared" si="22"/>
        <v>11796.23</v>
      </c>
      <c r="I354" s="47">
        <f t="shared" si="22"/>
        <v>100002.3</v>
      </c>
      <c r="J354" s="47">
        <f t="shared" si="22"/>
        <v>11085.84</v>
      </c>
      <c r="K354" s="47">
        <f t="shared" si="22"/>
        <v>0</v>
      </c>
      <c r="L354" s="47">
        <f t="shared" si="22"/>
        <v>233435.38999999998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87644.4</v>
      </c>
      <c r="G359" s="18">
        <v>0</v>
      </c>
      <c r="H359" s="18">
        <v>0</v>
      </c>
      <c r="I359" s="56">
        <f>SUM(F359:H359)</f>
        <v>87644.4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18">
        <f>I350-F359</f>
        <v>12357.900000000009</v>
      </c>
      <c r="G360" s="18">
        <v>0</v>
      </c>
      <c r="H360" s="18">
        <v>0</v>
      </c>
      <c r="I360" s="56">
        <f>SUM(F360:H360)</f>
        <v>12357.900000000009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100002.3</v>
      </c>
      <c r="G361" s="47">
        <f>SUM(G359:G360)</f>
        <v>0</v>
      </c>
      <c r="H361" s="47">
        <f>SUM(H359:H360)</f>
        <v>0</v>
      </c>
      <c r="I361" s="47">
        <f>SUM(I359:I360)</f>
        <v>100002.3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3"/>
      <c r="G362" s="63"/>
      <c r="H362" s="63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3" t="s">
        <v>724</v>
      </c>
      <c r="G363" s="173" t="s">
        <v>725</v>
      </c>
      <c r="H363" s="173" t="s">
        <v>726</v>
      </c>
      <c r="I363" s="173" t="s">
        <v>727</v>
      </c>
      <c r="J363" s="173" t="s">
        <v>728</v>
      </c>
      <c r="K363" s="173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2" t="s">
        <v>54</v>
      </c>
      <c r="G364" s="102" t="s">
        <v>55</v>
      </c>
      <c r="H364" s="102" t="s">
        <v>56</v>
      </c>
      <c r="I364" s="102" t="s">
        <v>57</v>
      </c>
      <c r="J364" s="102" t="s">
        <v>58</v>
      </c>
      <c r="K364" s="102" t="s">
        <v>59</v>
      </c>
      <c r="L364" s="102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>
        <v>0</v>
      </c>
      <c r="G367" s="18">
        <v>0</v>
      </c>
      <c r="H367" s="18">
        <v>0</v>
      </c>
      <c r="I367" s="18">
        <v>0</v>
      </c>
      <c r="J367" s="18">
        <v>0</v>
      </c>
      <c r="K367" s="18">
        <v>0</v>
      </c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>
        <v>0</v>
      </c>
      <c r="G368" s="18">
        <v>0</v>
      </c>
      <c r="H368" s="18">
        <v>0</v>
      </c>
      <c r="I368" s="18">
        <v>0</v>
      </c>
      <c r="J368" s="18">
        <v>0</v>
      </c>
      <c r="K368" s="18">
        <v>0</v>
      </c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>
        <v>0</v>
      </c>
      <c r="G369" s="18">
        <v>0</v>
      </c>
      <c r="H369" s="18">
        <v>0</v>
      </c>
      <c r="I369" s="18">
        <v>0</v>
      </c>
      <c r="J369" s="18">
        <v>0</v>
      </c>
      <c r="K369" s="18">
        <v>0</v>
      </c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>
        <v>0</v>
      </c>
      <c r="G371" s="18">
        <v>0</v>
      </c>
      <c r="H371" s="18">
        <v>0</v>
      </c>
      <c r="I371" s="18">
        <v>0</v>
      </c>
      <c r="J371" s="18">
        <v>0</v>
      </c>
      <c r="K371" s="18">
        <v>0</v>
      </c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0</v>
      </c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8">
        <f>SUM(F366:F373)</f>
        <v>0</v>
      </c>
      <c r="G374" s="138">
        <f t="shared" ref="G374:L374" si="24">SUM(G366:G373)</f>
        <v>0</v>
      </c>
      <c r="H374" s="138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5"/>
      <c r="G375" s="65"/>
      <c r="H375" s="65"/>
      <c r="I375" s="66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5"/>
      <c r="C376" s="75"/>
      <c r="D376" s="75"/>
      <c r="E376" s="75"/>
      <c r="F376" s="65"/>
      <c r="G376" s="65"/>
      <c r="H376" s="65"/>
      <c r="I376" s="66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6" t="s">
        <v>364</v>
      </c>
      <c r="M378" s="8"/>
    </row>
    <row r="379" spans="1:13" s="3" customFormat="1" ht="12" customHeight="1" x14ac:dyDescent="0.15">
      <c r="A379" s="78" t="s">
        <v>576</v>
      </c>
      <c r="B379" s="2" t="s">
        <v>405</v>
      </c>
      <c r="C379" s="6">
        <v>1</v>
      </c>
      <c r="D379" s="2" t="s">
        <v>456</v>
      </c>
      <c r="F379" s="18">
        <v>0</v>
      </c>
      <c r="G379" s="18">
        <v>0</v>
      </c>
      <c r="H379" s="18">
        <v>0</v>
      </c>
      <c r="I379" s="18">
        <v>0</v>
      </c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8" t="s">
        <v>577</v>
      </c>
      <c r="B380" s="2" t="s">
        <v>405</v>
      </c>
      <c r="C380" s="6">
        <v>2</v>
      </c>
      <c r="D380" s="2" t="s">
        <v>456</v>
      </c>
      <c r="E380" s="6"/>
      <c r="F380" s="18">
        <v>0</v>
      </c>
      <c r="G380" s="18">
        <v>0</v>
      </c>
      <c r="H380" s="18">
        <v>0</v>
      </c>
      <c r="I380" s="18">
        <v>0</v>
      </c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8" t="s">
        <v>578</v>
      </c>
      <c r="B381" s="2" t="s">
        <v>405</v>
      </c>
      <c r="C381" s="6">
        <v>3</v>
      </c>
      <c r="D381" s="2" t="s">
        <v>456</v>
      </c>
      <c r="E381" s="6"/>
      <c r="F381" s="18">
        <v>0</v>
      </c>
      <c r="G381" s="18">
        <v>0</v>
      </c>
      <c r="H381" s="18">
        <v>0</v>
      </c>
      <c r="I381" s="18">
        <v>0</v>
      </c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8" t="s">
        <v>579</v>
      </c>
      <c r="B382" s="2" t="s">
        <v>405</v>
      </c>
      <c r="C382" s="6">
        <v>4</v>
      </c>
      <c r="D382" s="2" t="s">
        <v>456</v>
      </c>
      <c r="E382" s="6"/>
      <c r="F382" s="18">
        <v>0</v>
      </c>
      <c r="G382" s="18">
        <v>25000</v>
      </c>
      <c r="H382" s="18">
        <v>310.77999999999997</v>
      </c>
      <c r="I382" s="18">
        <v>0</v>
      </c>
      <c r="J382" s="24" t="s">
        <v>312</v>
      </c>
      <c r="K382" s="24" t="s">
        <v>312</v>
      </c>
      <c r="L382" s="56">
        <f t="shared" si="25"/>
        <v>25310.78</v>
      </c>
      <c r="M382" s="8"/>
    </row>
    <row r="383" spans="1:13" s="3" customFormat="1" ht="12" customHeight="1" x14ac:dyDescent="0.15">
      <c r="A383" s="78" t="s">
        <v>580</v>
      </c>
      <c r="B383" s="2" t="s">
        <v>405</v>
      </c>
      <c r="C383" s="6">
        <v>5</v>
      </c>
      <c r="D383" s="2" t="s">
        <v>456</v>
      </c>
      <c r="E383" s="6"/>
      <c r="F383" s="18">
        <v>0</v>
      </c>
      <c r="G383" s="18">
        <v>0</v>
      </c>
      <c r="H383" s="18">
        <v>0</v>
      </c>
      <c r="I383" s="18">
        <v>0</v>
      </c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8" t="s">
        <v>581</v>
      </c>
      <c r="B384" s="2" t="s">
        <v>405</v>
      </c>
      <c r="C384" s="6">
        <v>6</v>
      </c>
      <c r="D384" s="2" t="s">
        <v>456</v>
      </c>
      <c r="E384" s="6"/>
      <c r="F384" s="18">
        <v>0</v>
      </c>
      <c r="G384" s="18">
        <f>25000</f>
        <v>25000</v>
      </c>
      <c r="H384" s="18">
        <f>3365.48-H382</f>
        <v>3054.7</v>
      </c>
      <c r="I384" s="18">
        <v>0</v>
      </c>
      <c r="J384" s="24" t="s">
        <v>312</v>
      </c>
      <c r="K384" s="24" t="s">
        <v>312</v>
      </c>
      <c r="L384" s="56">
        <f t="shared" si="25"/>
        <v>28054.7</v>
      </c>
      <c r="M384" s="8"/>
    </row>
    <row r="385" spans="1:13" s="3" customFormat="1" ht="12" customHeight="1" thickTop="1" x14ac:dyDescent="0.15">
      <c r="A385" s="156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8">
        <f>SUM(F379:F384)</f>
        <v>0</v>
      </c>
      <c r="G385" s="138">
        <f>SUM(G379:G384)</f>
        <v>50000</v>
      </c>
      <c r="H385" s="138">
        <f>SUM(H379:H384)</f>
        <v>3365.4799999999996</v>
      </c>
      <c r="I385" s="64">
        <f>SUM(I379:I384)</f>
        <v>0</v>
      </c>
      <c r="J385" s="45" t="s">
        <v>312</v>
      </c>
      <c r="K385" s="45" t="s">
        <v>312</v>
      </c>
      <c r="L385" s="47">
        <f>SUM(L379:L384)</f>
        <v>53365.479999999996</v>
      </c>
      <c r="M385" s="8"/>
    </row>
    <row r="386" spans="1:13" s="3" customFormat="1" ht="12" customHeight="1" x14ac:dyDescent="0.15">
      <c r="A386" s="77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8" t="s">
        <v>582</v>
      </c>
      <c r="B387" s="2" t="s">
        <v>405</v>
      </c>
      <c r="C387" s="6">
        <v>8</v>
      </c>
      <c r="D387" s="2" t="s">
        <v>456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8" t="s">
        <v>583</v>
      </c>
      <c r="B388" s="2" t="s">
        <v>405</v>
      </c>
      <c r="C388" s="6">
        <v>9</v>
      </c>
      <c r="D388" s="2" t="s">
        <v>456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8" t="s">
        <v>541</v>
      </c>
      <c r="B389" s="2" t="s">
        <v>405</v>
      </c>
      <c r="C389" s="6">
        <v>10</v>
      </c>
      <c r="D389" s="2" t="s">
        <v>456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8" t="s">
        <v>584</v>
      </c>
      <c r="B390" s="2" t="s">
        <v>405</v>
      </c>
      <c r="C390" s="6">
        <v>11</v>
      </c>
      <c r="D390" s="2" t="s">
        <v>456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8" t="s">
        <v>585</v>
      </c>
      <c r="B391" s="2" t="s">
        <v>405</v>
      </c>
      <c r="C391" s="6">
        <v>12</v>
      </c>
      <c r="D391" s="2" t="s">
        <v>456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8" t="s">
        <v>536</v>
      </c>
      <c r="B392" s="2" t="s">
        <v>405</v>
      </c>
      <c r="C392" s="6">
        <v>13</v>
      </c>
      <c r="D392" s="2" t="s">
        <v>456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56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7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09"/>
      <c r="B395" s="2" t="s">
        <v>405</v>
      </c>
      <c r="C395" s="6">
        <v>15</v>
      </c>
      <c r="D395" s="2" t="s">
        <v>456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09"/>
      <c r="B396" s="2" t="s">
        <v>405</v>
      </c>
      <c r="C396" s="6">
        <v>16</v>
      </c>
      <c r="D396" s="2" t="s">
        <v>456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09"/>
      <c r="B397" s="2" t="s">
        <v>405</v>
      </c>
      <c r="C397" s="6">
        <v>17</v>
      </c>
      <c r="D397" s="2" t="s">
        <v>456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09"/>
      <c r="B398" s="2" t="s">
        <v>405</v>
      </c>
      <c r="C398" s="6">
        <v>18</v>
      </c>
      <c r="D398" s="2" t="s">
        <v>456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56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7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50000</v>
      </c>
      <c r="H400" s="47">
        <f>H385+H393+H399</f>
        <v>3365.4799999999996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53365.479999999996</v>
      </c>
      <c r="M400" s="8"/>
    </row>
    <row r="401" spans="1:21" s="3" customFormat="1" ht="12" customHeight="1" x14ac:dyDescent="0.15">
      <c r="A401" s="77"/>
      <c r="B401" s="2"/>
      <c r="C401" s="6"/>
      <c r="D401" s="6"/>
      <c r="E401" s="6"/>
      <c r="F401" s="173" t="s">
        <v>724</v>
      </c>
      <c r="G401" s="173" t="s">
        <v>725</v>
      </c>
      <c r="H401" s="173" t="s">
        <v>726</v>
      </c>
      <c r="I401" s="173" t="s">
        <v>727</v>
      </c>
      <c r="J401" s="173" t="s">
        <v>728</v>
      </c>
      <c r="K401" s="173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5"/>
      <c r="C402" s="75"/>
      <c r="D402" s="75"/>
      <c r="E402" s="75"/>
      <c r="F402" s="65"/>
      <c r="G402" s="16" t="s">
        <v>408</v>
      </c>
      <c r="H402" s="16" t="s">
        <v>409</v>
      </c>
      <c r="I402" s="66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6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8" t="s">
        <v>576</v>
      </c>
      <c r="B405" s="6">
        <v>17</v>
      </c>
      <c r="C405" s="6">
        <v>1</v>
      </c>
      <c r="D405" s="2" t="s">
        <v>456</v>
      </c>
      <c r="E405" s="6"/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8" t="s">
        <v>577</v>
      </c>
      <c r="B406" s="6">
        <v>17</v>
      </c>
      <c r="C406" s="6">
        <v>2</v>
      </c>
      <c r="D406" s="2" t="s">
        <v>456</v>
      </c>
      <c r="E406" s="6"/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56">
        <f t="shared" si="27"/>
        <v>0</v>
      </c>
      <c r="M406" s="8"/>
    </row>
    <row r="407" spans="1:21" s="3" customFormat="1" ht="12" customHeight="1" x14ac:dyDescent="0.15">
      <c r="A407" s="78" t="s">
        <v>578</v>
      </c>
      <c r="B407" s="6">
        <v>17</v>
      </c>
      <c r="C407" s="6">
        <v>3</v>
      </c>
      <c r="D407" s="2" t="s">
        <v>456</v>
      </c>
      <c r="E407" s="6"/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56">
        <f t="shared" si="27"/>
        <v>0</v>
      </c>
      <c r="M407" s="8"/>
    </row>
    <row r="408" spans="1:21" s="12" customFormat="1" ht="12" customHeight="1" thickBot="1" x14ac:dyDescent="0.25">
      <c r="A408" s="78" t="s">
        <v>579</v>
      </c>
      <c r="B408" s="6">
        <v>17</v>
      </c>
      <c r="C408" s="6">
        <v>4</v>
      </c>
      <c r="D408" s="2" t="s">
        <v>456</v>
      </c>
      <c r="E408" s="6"/>
      <c r="F408" s="18">
        <v>0</v>
      </c>
      <c r="G408" s="18">
        <v>0</v>
      </c>
      <c r="H408" s="18">
        <v>0</v>
      </c>
      <c r="I408" s="18">
        <v>20521</v>
      </c>
      <c r="J408" s="18">
        <v>0</v>
      </c>
      <c r="K408" s="18">
        <v>0</v>
      </c>
      <c r="L408" s="56">
        <f t="shared" si="27"/>
        <v>20521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8" t="s">
        <v>580</v>
      </c>
      <c r="B409" s="6">
        <v>17</v>
      </c>
      <c r="C409" s="6">
        <v>5</v>
      </c>
      <c r="D409" s="2" t="s">
        <v>456</v>
      </c>
      <c r="E409" s="6"/>
      <c r="F409" s="18">
        <v>0</v>
      </c>
      <c r="G409" s="18">
        <v>0</v>
      </c>
      <c r="H409" s="18">
        <v>0</v>
      </c>
      <c r="I409" s="18">
        <v>0</v>
      </c>
      <c r="J409" s="18">
        <v>0</v>
      </c>
      <c r="K409" s="18">
        <v>0</v>
      </c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8" t="s">
        <v>581</v>
      </c>
      <c r="B410" s="6">
        <v>17</v>
      </c>
      <c r="C410" s="6">
        <v>6</v>
      </c>
      <c r="D410" s="2" t="s">
        <v>456</v>
      </c>
      <c r="E410" s="6"/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56">
        <f t="shared" si="27"/>
        <v>0</v>
      </c>
      <c r="M410" s="8"/>
    </row>
    <row r="411" spans="1:21" s="3" customFormat="1" ht="12" customHeight="1" thickTop="1" x14ac:dyDescent="0.15">
      <c r="A411" s="156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8">
        <f t="shared" ref="F411:L411" si="28">SUM(F405:F410)</f>
        <v>0</v>
      </c>
      <c r="G411" s="138">
        <f t="shared" si="28"/>
        <v>0</v>
      </c>
      <c r="H411" s="138">
        <f t="shared" si="28"/>
        <v>0</v>
      </c>
      <c r="I411" s="138">
        <f t="shared" si="28"/>
        <v>20521</v>
      </c>
      <c r="J411" s="138">
        <f t="shared" si="28"/>
        <v>0</v>
      </c>
      <c r="K411" s="138">
        <f t="shared" si="28"/>
        <v>0</v>
      </c>
      <c r="L411" s="47">
        <f t="shared" si="28"/>
        <v>20521</v>
      </c>
      <c r="M411" s="8"/>
    </row>
    <row r="412" spans="1:21" s="3" customFormat="1" ht="12" customHeight="1" x14ac:dyDescent="0.15">
      <c r="A412" s="77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8" t="s">
        <v>582</v>
      </c>
      <c r="B413" s="6">
        <v>17</v>
      </c>
      <c r="C413" s="6">
        <v>8</v>
      </c>
      <c r="D413" s="2" t="s">
        <v>456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8" t="s">
        <v>583</v>
      </c>
      <c r="B414" s="6">
        <v>17</v>
      </c>
      <c r="C414" s="6">
        <v>9</v>
      </c>
      <c r="D414" s="2" t="s">
        <v>456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9"/>
        <v>0</v>
      </c>
      <c r="M414" s="8"/>
    </row>
    <row r="415" spans="1:21" s="3" customFormat="1" ht="12" customHeight="1" x14ac:dyDescent="0.15">
      <c r="A415" s="78" t="s">
        <v>541</v>
      </c>
      <c r="B415" s="6">
        <v>17</v>
      </c>
      <c r="C415" s="6">
        <v>10</v>
      </c>
      <c r="D415" s="2" t="s">
        <v>456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9"/>
        <v>0</v>
      </c>
      <c r="M415" s="8"/>
    </row>
    <row r="416" spans="1:21" s="3" customFormat="1" ht="12" customHeight="1" x14ac:dyDescent="0.15">
      <c r="A416" s="78" t="s">
        <v>584</v>
      </c>
      <c r="B416" s="6">
        <v>17</v>
      </c>
      <c r="C416" s="6">
        <v>11</v>
      </c>
      <c r="D416" s="2" t="s">
        <v>456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9"/>
        <v>0</v>
      </c>
      <c r="M416" s="8"/>
    </row>
    <row r="417" spans="1:21" s="3" customFormat="1" ht="12" customHeight="1" x14ac:dyDescent="0.15">
      <c r="A417" s="78" t="s">
        <v>585</v>
      </c>
      <c r="B417" s="6">
        <v>17</v>
      </c>
      <c r="C417" s="6">
        <v>12</v>
      </c>
      <c r="D417" s="2" t="s">
        <v>456</v>
      </c>
      <c r="E417" s="6"/>
      <c r="F417" s="18">
        <v>0</v>
      </c>
      <c r="G417" s="18">
        <v>0</v>
      </c>
      <c r="H417" s="18">
        <v>0</v>
      </c>
      <c r="I417" s="18">
        <v>8186.09</v>
      </c>
      <c r="J417" s="18">
        <v>0</v>
      </c>
      <c r="K417" s="18">
        <v>0</v>
      </c>
      <c r="L417" s="56">
        <f t="shared" si="29"/>
        <v>8186.09</v>
      </c>
      <c r="M417" s="8"/>
    </row>
    <row r="418" spans="1:21" s="3" customFormat="1" ht="12" customHeight="1" thickBot="1" x14ac:dyDescent="0.2">
      <c r="A418" s="78" t="s">
        <v>536</v>
      </c>
      <c r="B418" s="6">
        <v>17</v>
      </c>
      <c r="C418" s="6">
        <v>13</v>
      </c>
      <c r="D418" s="2" t="s">
        <v>456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9"/>
        <v>0</v>
      </c>
      <c r="M418" s="8"/>
    </row>
    <row r="419" spans="1:21" s="3" customFormat="1" ht="12" customHeight="1" thickTop="1" x14ac:dyDescent="0.15">
      <c r="A419" s="156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8186.09</v>
      </c>
      <c r="J419" s="47">
        <f t="shared" si="30"/>
        <v>0</v>
      </c>
      <c r="K419" s="47">
        <f t="shared" si="30"/>
        <v>0</v>
      </c>
      <c r="L419" s="47">
        <f t="shared" si="30"/>
        <v>8186.09</v>
      </c>
      <c r="M419" s="8"/>
    </row>
    <row r="420" spans="1:21" s="3" customFormat="1" ht="12" customHeight="1" x14ac:dyDescent="0.15">
      <c r="A420" s="77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09"/>
      <c r="B421" s="6">
        <v>17</v>
      </c>
      <c r="C421" s="6">
        <v>15</v>
      </c>
      <c r="D421" s="2" t="s">
        <v>456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>SUM(F421:K421)</f>
        <v>0</v>
      </c>
      <c r="M421" s="8"/>
    </row>
    <row r="422" spans="1:21" s="11" customFormat="1" ht="12" customHeight="1" x14ac:dyDescent="0.15">
      <c r="A422" s="109"/>
      <c r="B422" s="6">
        <v>17</v>
      </c>
      <c r="C422" s="6">
        <v>16</v>
      </c>
      <c r="D422" s="2" t="s">
        <v>456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>SUM(F422:K422)</f>
        <v>0</v>
      </c>
      <c r="M422" s="67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09"/>
      <c r="B423" s="6">
        <v>17</v>
      </c>
      <c r="C423" s="6">
        <v>17</v>
      </c>
      <c r="D423" s="2" t="s">
        <v>456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>SUM(F423:K423)</f>
        <v>0</v>
      </c>
      <c r="M423" s="67"/>
    </row>
    <row r="424" spans="1:21" s="58" customFormat="1" ht="12" customHeight="1" thickBot="1" x14ac:dyDescent="0.2">
      <c r="A424" s="109"/>
      <c r="B424" s="6">
        <v>17</v>
      </c>
      <c r="C424" s="6">
        <v>18</v>
      </c>
      <c r="D424" s="2" t="s">
        <v>456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>SUM(F424:K424)</f>
        <v>0</v>
      </c>
      <c r="M424" s="67"/>
    </row>
    <row r="425" spans="1:21" ht="12" customHeight="1" thickTop="1" thickBot="1" x14ac:dyDescent="0.25">
      <c r="A425" s="156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7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28707.09</v>
      </c>
      <c r="J426" s="47">
        <f t="shared" si="32"/>
        <v>0</v>
      </c>
      <c r="K426" s="47">
        <f t="shared" si="32"/>
        <v>0</v>
      </c>
      <c r="L426" s="47">
        <f t="shared" si="32"/>
        <v>28707.09</v>
      </c>
      <c r="M426" s="8"/>
    </row>
    <row r="427" spans="1:21" s="3" customFormat="1" ht="12" customHeight="1" x14ac:dyDescent="0.15">
      <c r="A427" s="77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0</v>
      </c>
      <c r="G431" s="18">
        <v>0</v>
      </c>
      <c r="H431" s="18">
        <v>0</v>
      </c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8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128790.27</v>
      </c>
      <c r="G432" s="18">
        <v>0</v>
      </c>
      <c r="H432" s="18">
        <v>0</v>
      </c>
      <c r="I432" s="56">
        <f t="shared" si="33"/>
        <v>128790.27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8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>
        <v>0</v>
      </c>
      <c r="G433" s="18">
        <v>0</v>
      </c>
      <c r="H433" s="18">
        <v>0</v>
      </c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8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0</v>
      </c>
      <c r="G434" s="18">
        <v>0</v>
      </c>
      <c r="H434" s="18">
        <v>0</v>
      </c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8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>
        <v>0</v>
      </c>
      <c r="G435" s="18">
        <v>0</v>
      </c>
      <c r="H435" s="18">
        <v>0</v>
      </c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8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>
        <v>0</v>
      </c>
      <c r="G436" s="18">
        <v>0</v>
      </c>
      <c r="H436" s="18">
        <v>0</v>
      </c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8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>
        <v>0</v>
      </c>
      <c r="G437" s="18">
        <v>0</v>
      </c>
      <c r="H437" s="18">
        <v>0</v>
      </c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69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128790.27</v>
      </c>
      <c r="G438" s="13">
        <f>SUM(G431:G437)</f>
        <v>0</v>
      </c>
      <c r="H438" s="13">
        <f>SUM(H431:H437)</f>
        <v>0</v>
      </c>
      <c r="I438" s="13">
        <f>SUM(I431:I437)</f>
        <v>128790.27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8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>
        <v>0</v>
      </c>
      <c r="G440" s="18">
        <v>0</v>
      </c>
      <c r="H440" s="18">
        <v>0</v>
      </c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8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>
        <v>0</v>
      </c>
      <c r="G441" s="18">
        <v>0</v>
      </c>
      <c r="H441" s="18">
        <v>0</v>
      </c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8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>
        <v>0</v>
      </c>
      <c r="G442" s="18">
        <v>0</v>
      </c>
      <c r="H442" s="18">
        <v>0</v>
      </c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8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>
        <v>0</v>
      </c>
      <c r="G443" s="18">
        <v>0</v>
      </c>
      <c r="H443" s="18">
        <v>0</v>
      </c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3" t="s">
        <v>447</v>
      </c>
      <c r="B444" s="72">
        <v>18</v>
      </c>
      <c r="C444" s="70">
        <v>13</v>
      </c>
      <c r="D444" s="2" t="s">
        <v>456</v>
      </c>
      <c r="E444" s="70"/>
      <c r="F444" s="71">
        <f>SUM(F440:F443)</f>
        <v>0</v>
      </c>
      <c r="G444" s="71">
        <f>SUM(G440:G443)</f>
        <v>0</v>
      </c>
      <c r="H444" s="71">
        <f>SUM(H440:H443)</f>
        <v>0</v>
      </c>
      <c r="I444" s="71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89" t="s">
        <v>8</v>
      </c>
      <c r="B445" s="36"/>
      <c r="C445" s="74"/>
      <c r="D445" s="74"/>
      <c r="E445" s="74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>
        <v>0</v>
      </c>
      <c r="G446" s="18">
        <v>0</v>
      </c>
      <c r="H446" s="18">
        <v>0</v>
      </c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128790.27</v>
      </c>
      <c r="G449" s="18">
        <v>0</v>
      </c>
      <c r="H449" s="18">
        <v>0</v>
      </c>
      <c r="I449" s="56">
        <f>SUM(F449:H449)</f>
        <v>128790.27</v>
      </c>
      <c r="J449" s="24" t="s">
        <v>312</v>
      </c>
      <c r="K449" s="24" t="s">
        <v>312</v>
      </c>
      <c r="L449" s="24" t="s">
        <v>312</v>
      </c>
      <c r="M449" s="67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0">
        <v>18</v>
      </c>
      <c r="C450" s="51">
        <v>18</v>
      </c>
      <c r="D450" s="48" t="s">
        <v>456</v>
      </c>
      <c r="E450" s="51"/>
      <c r="F450" s="82">
        <f>SUM(F446:F449)</f>
        <v>128790.27</v>
      </c>
      <c r="G450" s="82">
        <f>SUM(G446:G449)</f>
        <v>0</v>
      </c>
      <c r="H450" s="82">
        <f>SUM(H446:H449)</f>
        <v>0</v>
      </c>
      <c r="I450" s="82">
        <f>SUM(I446:I449)</f>
        <v>128790.27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0" t="s">
        <v>448</v>
      </c>
      <c r="B451" s="44">
        <v>18</v>
      </c>
      <c r="C451" s="81">
        <v>19</v>
      </c>
      <c r="D451" s="153" t="s">
        <v>456</v>
      </c>
      <c r="E451" s="81"/>
      <c r="F451" s="42">
        <f>F444+F450</f>
        <v>128790.27</v>
      </c>
      <c r="G451" s="42">
        <f>G444+G450</f>
        <v>0</v>
      </c>
      <c r="H451" s="42">
        <f>H444+H450</f>
        <v>0</v>
      </c>
      <c r="I451" s="42">
        <f>I444+I450</f>
        <v>128790.27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1"/>
      <c r="B452" s="74"/>
      <c r="C452" s="79"/>
      <c r="D452" s="79"/>
      <c r="E452" s="79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1" t="s">
        <v>9</v>
      </c>
      <c r="B453" s="74"/>
      <c r="C453" s="79"/>
      <c r="D453" s="79"/>
      <c r="E453" s="79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1"/>
      <c r="B454" s="74"/>
      <c r="C454" s="79"/>
      <c r="D454" s="79"/>
      <c r="E454" s="79"/>
      <c r="F454" s="83" t="s">
        <v>10</v>
      </c>
      <c r="G454" s="83" t="s">
        <v>11</v>
      </c>
      <c r="H454" s="83" t="s">
        <v>12</v>
      </c>
      <c r="I454" s="83" t="s">
        <v>13</v>
      </c>
      <c r="J454" s="83" t="s">
        <v>14</v>
      </c>
      <c r="K454" s="53"/>
      <c r="L454" s="53"/>
    </row>
    <row r="455" spans="1:23" s="52" customFormat="1" ht="12" customHeight="1" x14ac:dyDescent="0.2">
      <c r="A455" s="185" t="s">
        <v>883</v>
      </c>
      <c r="B455" s="104">
        <v>19</v>
      </c>
      <c r="C455" s="110">
        <v>1</v>
      </c>
      <c r="D455" s="2" t="s">
        <v>456</v>
      </c>
      <c r="E455" s="110"/>
      <c r="F455" s="18">
        <v>519031.81</v>
      </c>
      <c r="G455" s="18">
        <v>0</v>
      </c>
      <c r="H455" s="18">
        <v>0</v>
      </c>
      <c r="I455" s="18"/>
      <c r="J455" s="18">
        <v>100800.51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3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2" t="s">
        <v>644</v>
      </c>
      <c r="B458" s="74">
        <v>19</v>
      </c>
      <c r="C458" s="79">
        <v>2</v>
      </c>
      <c r="D458" s="2" t="s">
        <v>456</v>
      </c>
      <c r="E458" s="79"/>
      <c r="F458" s="18">
        <f>F185</f>
        <v>8467626.4499999993</v>
      </c>
      <c r="G458" s="18">
        <f>G185</f>
        <v>233435.39</v>
      </c>
      <c r="H458" s="18">
        <f>H185</f>
        <v>482984.14</v>
      </c>
      <c r="I458" s="18">
        <v>0</v>
      </c>
      <c r="J458" s="18">
        <f>J185</f>
        <v>53365.48</v>
      </c>
      <c r="K458" s="24" t="s">
        <v>312</v>
      </c>
      <c r="L458" s="24" t="s">
        <v>312</v>
      </c>
    </row>
    <row r="459" spans="1:23" s="52" customFormat="1" ht="12" customHeight="1" x14ac:dyDescent="0.2">
      <c r="A459" s="92" t="s">
        <v>645</v>
      </c>
      <c r="B459" s="74">
        <v>19</v>
      </c>
      <c r="C459" s="79">
        <v>3</v>
      </c>
      <c r="D459" s="2" t="s">
        <v>456</v>
      </c>
      <c r="E459" s="79"/>
      <c r="F459" s="18">
        <v>0</v>
      </c>
      <c r="G459" s="18">
        <v>0</v>
      </c>
      <c r="H459" s="18">
        <v>0</v>
      </c>
      <c r="I459" s="18">
        <v>0</v>
      </c>
      <c r="J459" s="18">
        <v>3331.37</v>
      </c>
      <c r="K459" s="24" t="s">
        <v>312</v>
      </c>
      <c r="L459" s="24" t="s">
        <v>312</v>
      </c>
    </row>
    <row r="460" spans="1:23" s="52" customFormat="1" ht="12" customHeight="1" x14ac:dyDescent="0.2">
      <c r="A460" s="91" t="s">
        <v>449</v>
      </c>
      <c r="B460" s="74">
        <v>19</v>
      </c>
      <c r="C460" s="79">
        <v>4</v>
      </c>
      <c r="D460" s="2" t="s">
        <v>456</v>
      </c>
      <c r="E460" s="79"/>
      <c r="F460" s="53">
        <f>SUM(F458:F459)</f>
        <v>8467626.4499999993</v>
      </c>
      <c r="G460" s="53">
        <f>SUM(G458:G459)</f>
        <v>233435.39</v>
      </c>
      <c r="H460" s="53">
        <f>SUM(H458:H459)</f>
        <v>482984.14</v>
      </c>
      <c r="I460" s="53">
        <f>SUM(I458:I459)</f>
        <v>0</v>
      </c>
      <c r="J460" s="53">
        <f>SUM(J458:J459)</f>
        <v>56696.850000000006</v>
      </c>
      <c r="K460" s="24" t="s">
        <v>312</v>
      </c>
      <c r="L460" s="24" t="s">
        <v>312</v>
      </c>
    </row>
    <row r="461" spans="1:23" s="52" customFormat="1" ht="12" customHeight="1" x14ac:dyDescent="0.2">
      <c r="A461" s="93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2" t="s">
        <v>646</v>
      </c>
      <c r="B462" s="74">
        <v>19</v>
      </c>
      <c r="C462" s="79">
        <v>5</v>
      </c>
      <c r="D462" s="2" t="s">
        <v>456</v>
      </c>
      <c r="E462" s="79"/>
      <c r="F462" s="18">
        <f>L263</f>
        <v>8467185.5700000003</v>
      </c>
      <c r="G462" s="18">
        <f>L354</f>
        <v>233435.38999999998</v>
      </c>
      <c r="H462" s="18">
        <f>L330</f>
        <v>482984.14</v>
      </c>
      <c r="I462" s="18">
        <v>0</v>
      </c>
      <c r="J462" s="18">
        <f>L426</f>
        <v>28707.09</v>
      </c>
      <c r="K462" s="24" t="s">
        <v>312</v>
      </c>
      <c r="L462" s="24" t="s">
        <v>312</v>
      </c>
    </row>
    <row r="463" spans="1:23" s="52" customFormat="1" ht="12" customHeight="1" x14ac:dyDescent="0.2">
      <c r="A463" s="92" t="s">
        <v>647</v>
      </c>
      <c r="B463" s="74">
        <v>19</v>
      </c>
      <c r="C463" s="79">
        <v>6</v>
      </c>
      <c r="D463" s="2" t="s">
        <v>456</v>
      </c>
      <c r="E463" s="79"/>
      <c r="F463" s="18">
        <v>0</v>
      </c>
      <c r="G463" s="18">
        <v>0</v>
      </c>
      <c r="H463" s="18">
        <v>0</v>
      </c>
      <c r="I463" s="18">
        <v>0</v>
      </c>
      <c r="J463" s="18">
        <v>0</v>
      </c>
      <c r="K463" s="24" t="s">
        <v>312</v>
      </c>
      <c r="L463" s="24" t="s">
        <v>312</v>
      </c>
    </row>
    <row r="464" spans="1:23" s="52" customFormat="1" ht="12" customHeight="1" x14ac:dyDescent="0.2">
      <c r="A464" s="91" t="s">
        <v>450</v>
      </c>
      <c r="B464" s="74">
        <v>19</v>
      </c>
      <c r="C464" s="79">
        <v>7</v>
      </c>
      <c r="D464" s="2" t="s">
        <v>456</v>
      </c>
      <c r="E464" s="79"/>
      <c r="F464" s="53">
        <f>SUM(F462:F463)</f>
        <v>8467185.5700000003</v>
      </c>
      <c r="G464" s="53">
        <f>SUM(G462:G463)</f>
        <v>233435.38999999998</v>
      </c>
      <c r="H464" s="53">
        <f>SUM(H462:H463)</f>
        <v>482984.14</v>
      </c>
      <c r="I464" s="53">
        <f>SUM(I462:I463)</f>
        <v>0</v>
      </c>
      <c r="J464" s="53">
        <f>SUM(J462:J463)</f>
        <v>28707.09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86" t="s">
        <v>884</v>
      </c>
      <c r="B466" s="74">
        <v>19</v>
      </c>
      <c r="C466" s="114">
        <v>8</v>
      </c>
      <c r="D466" s="2" t="s">
        <v>456</v>
      </c>
      <c r="E466" s="114"/>
      <c r="F466" s="53">
        <f>(F455+F460)- F464</f>
        <v>519472.68999999948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128790.26999999999</v>
      </c>
      <c r="K466" s="24" t="s">
        <v>312</v>
      </c>
      <c r="L466" s="24" t="s">
        <v>312</v>
      </c>
    </row>
    <row r="467" spans="1:12" s="52" customFormat="1" ht="12" customHeight="1" x14ac:dyDescent="0.2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</row>
    <row r="468" spans="1:12" s="52" customFormat="1" ht="12" customHeight="1" x14ac:dyDescent="0.2">
      <c r="A468" s="94" t="s">
        <v>691</v>
      </c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</row>
    <row r="469" spans="1:12" s="52" customFormat="1" ht="12" customHeight="1" x14ac:dyDescent="0.2">
      <c r="A469" s="94" t="s">
        <v>730</v>
      </c>
      <c r="B469" s="111"/>
      <c r="C469" s="111"/>
      <c r="D469" s="111"/>
      <c r="E469" s="111"/>
      <c r="F469" s="111"/>
      <c r="G469" s="111"/>
      <c r="H469" s="111"/>
      <c r="I469" s="111" t="s">
        <v>17</v>
      </c>
      <c r="J469" s="111"/>
      <c r="K469" s="94"/>
      <c r="L469" s="94"/>
    </row>
    <row r="470" spans="1:12" s="52" customFormat="1" ht="12" customHeight="1" x14ac:dyDescent="0.2">
      <c r="A470" s="18" t="s">
        <v>896</v>
      </c>
      <c r="B470" s="111"/>
      <c r="C470" s="111"/>
      <c r="D470" s="111"/>
      <c r="E470" s="111"/>
      <c r="F470" s="111"/>
      <c r="G470" s="111"/>
      <c r="H470" s="111"/>
      <c r="I470" s="111" t="s">
        <v>425</v>
      </c>
      <c r="J470" s="111"/>
      <c r="K470" s="94"/>
      <c r="L470" s="94"/>
    </row>
    <row r="471" spans="1:12" s="52" customFormat="1" ht="12" customHeight="1" x14ac:dyDescent="0.2">
      <c r="A471" s="171"/>
      <c r="B471" s="111"/>
      <c r="C471" s="111"/>
      <c r="D471" s="111"/>
      <c r="E471" s="111"/>
      <c r="F471" s="111"/>
      <c r="G471" s="111"/>
      <c r="H471" s="111"/>
      <c r="I471" s="111" t="s">
        <v>684</v>
      </c>
      <c r="J471" s="111"/>
      <c r="K471" s="94"/>
      <c r="L471" s="94"/>
    </row>
    <row r="472" spans="1:12" s="52" customFormat="1" ht="12" customHeight="1" x14ac:dyDescent="0.2">
      <c r="A472" s="94" t="s">
        <v>731</v>
      </c>
      <c r="B472" s="111"/>
      <c r="C472" s="111"/>
      <c r="D472" s="111"/>
      <c r="E472" s="111"/>
      <c r="F472" s="111"/>
      <c r="G472" s="111"/>
      <c r="H472" s="111"/>
      <c r="I472" s="111" t="s">
        <v>497</v>
      </c>
      <c r="J472" s="111"/>
      <c r="K472" s="94"/>
      <c r="L472" s="94"/>
    </row>
    <row r="473" spans="1:12" s="52" customFormat="1" ht="12" customHeight="1" x14ac:dyDescent="0.2">
      <c r="A473" s="170"/>
      <c r="B473" s="111"/>
      <c r="C473" s="111"/>
      <c r="D473" s="111"/>
      <c r="E473" s="111"/>
      <c r="F473" s="111"/>
      <c r="G473" s="111"/>
      <c r="H473" s="111"/>
      <c r="I473" s="111" t="s">
        <v>18</v>
      </c>
      <c r="J473" s="111"/>
      <c r="K473" s="94"/>
      <c r="L473" s="94"/>
    </row>
    <row r="474" spans="1:12" s="52" customFormat="1" ht="12" customHeight="1" x14ac:dyDescent="0.2">
      <c r="A474" s="170"/>
      <c r="B474" s="111"/>
      <c r="C474" s="111"/>
      <c r="D474" s="111"/>
      <c r="E474" s="111"/>
      <c r="F474" s="111"/>
      <c r="G474" s="111"/>
      <c r="H474" s="111"/>
      <c r="I474" s="111" t="s">
        <v>498</v>
      </c>
      <c r="J474" s="111"/>
      <c r="K474" s="94"/>
      <c r="L474" s="94"/>
    </row>
    <row r="475" spans="1:12" s="52" customFormat="1" ht="12" customHeight="1" x14ac:dyDescent="0.2">
      <c r="A475" s="170"/>
      <c r="B475" s="111"/>
      <c r="C475" s="111"/>
      <c r="D475" s="111"/>
      <c r="E475" s="111"/>
      <c r="F475" s="111"/>
      <c r="G475" s="111"/>
      <c r="H475" s="111"/>
      <c r="I475" s="111" t="s">
        <v>499</v>
      </c>
      <c r="J475" s="111"/>
      <c r="K475" s="94"/>
      <c r="L475" s="94"/>
    </row>
    <row r="476" spans="1:12" s="52" customFormat="1" ht="12" customHeight="1" x14ac:dyDescent="0.2">
      <c r="A476" s="22"/>
      <c r="B476" s="111"/>
      <c r="C476" s="111"/>
      <c r="D476" s="111"/>
      <c r="E476" s="111"/>
      <c r="F476" s="111"/>
      <c r="G476" s="111"/>
      <c r="H476" s="111"/>
      <c r="I476" s="111"/>
      <c r="J476" s="111"/>
      <c r="K476" s="94"/>
      <c r="L476" s="94"/>
    </row>
    <row r="477" spans="1:12" s="52" customFormat="1" ht="12" customHeight="1" x14ac:dyDescent="0.2">
      <c r="A477" s="95" t="s">
        <v>19</v>
      </c>
      <c r="B477" s="104"/>
      <c r="C477" s="114"/>
      <c r="D477" s="114"/>
      <c r="E477" s="114"/>
      <c r="F477" s="115"/>
      <c r="G477" s="115"/>
      <c r="H477" s="115"/>
      <c r="I477" s="115"/>
      <c r="J477" s="115"/>
      <c r="K477" s="115"/>
      <c r="L477" s="115"/>
    </row>
    <row r="478" spans="1:12" s="52" customFormat="1" ht="12" customHeight="1" x14ac:dyDescent="0.2">
      <c r="A478" s="187" t="s">
        <v>885</v>
      </c>
      <c r="B478" s="104"/>
      <c r="C478" s="114"/>
      <c r="D478" s="114"/>
      <c r="E478" s="114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5"/>
    </row>
    <row r="479" spans="1:12" s="52" customFormat="1" ht="12" customHeight="1" x14ac:dyDescent="0.2">
      <c r="A479" s="95" t="s">
        <v>21</v>
      </c>
      <c r="B479" s="104"/>
      <c r="C479" s="114"/>
      <c r="D479" s="114"/>
      <c r="E479" s="114"/>
      <c r="F479" s="116" t="s">
        <v>22</v>
      </c>
      <c r="G479" s="116" t="s">
        <v>23</v>
      </c>
      <c r="H479" s="116" t="s">
        <v>24</v>
      </c>
      <c r="I479" s="116" t="s">
        <v>25</v>
      </c>
      <c r="J479" s="116" t="s">
        <v>26</v>
      </c>
      <c r="K479" s="116" t="s">
        <v>364</v>
      </c>
      <c r="L479" s="115"/>
    </row>
    <row r="480" spans="1:12" s="52" customFormat="1" ht="12" customHeight="1" x14ac:dyDescent="0.2">
      <c r="A480" s="22" t="s">
        <v>648</v>
      </c>
      <c r="B480" s="74">
        <v>20</v>
      </c>
      <c r="C480" s="114">
        <v>1</v>
      </c>
      <c r="D480" s="2" t="s">
        <v>456</v>
      </c>
      <c r="E480" s="114"/>
      <c r="F480" s="18">
        <v>15</v>
      </c>
      <c r="G480" s="18">
        <v>15</v>
      </c>
      <c r="H480" s="18">
        <v>0</v>
      </c>
      <c r="I480" s="18">
        <v>0</v>
      </c>
      <c r="J480" s="18">
        <v>0</v>
      </c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4">
        <v>20</v>
      </c>
      <c r="C481" s="114">
        <v>2</v>
      </c>
      <c r="D481" s="2" t="s">
        <v>456</v>
      </c>
      <c r="E481" s="114"/>
      <c r="F481" s="18" t="s">
        <v>894</v>
      </c>
      <c r="G481" s="18" t="s">
        <v>894</v>
      </c>
      <c r="H481" s="18">
        <v>0</v>
      </c>
      <c r="I481" s="18">
        <v>0</v>
      </c>
      <c r="J481" s="18">
        <v>0</v>
      </c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4">
        <v>20</v>
      </c>
      <c r="C482" s="114">
        <v>3</v>
      </c>
      <c r="D482" s="2" t="s">
        <v>456</v>
      </c>
      <c r="E482" s="114"/>
      <c r="F482" s="18" t="s">
        <v>895</v>
      </c>
      <c r="G482" s="18" t="s">
        <v>895</v>
      </c>
      <c r="H482" s="18">
        <v>0</v>
      </c>
      <c r="I482" s="18">
        <v>0</v>
      </c>
      <c r="J482" s="18">
        <v>0</v>
      </c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4">
        <v>20</v>
      </c>
      <c r="C483" s="114">
        <v>4</v>
      </c>
      <c r="D483" s="2" t="s">
        <v>456</v>
      </c>
      <c r="E483" s="114"/>
      <c r="F483" s="18">
        <v>607562</v>
      </c>
      <c r="G483" s="18">
        <v>1822684</v>
      </c>
      <c r="H483" s="18">
        <v>0</v>
      </c>
      <c r="I483" s="18">
        <v>0</v>
      </c>
      <c r="J483" s="18">
        <v>0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4">
        <v>20</v>
      </c>
      <c r="C484" s="114">
        <v>5</v>
      </c>
      <c r="D484" s="2" t="s">
        <v>456</v>
      </c>
      <c r="E484" s="114"/>
      <c r="F484" s="18">
        <v>4.95</v>
      </c>
      <c r="G484" s="18">
        <v>4.9000000000000004</v>
      </c>
      <c r="H484" s="18">
        <v>0</v>
      </c>
      <c r="I484" s="18">
        <v>0</v>
      </c>
      <c r="J484" s="18">
        <v>0</v>
      </c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4">
        <v>20</v>
      </c>
      <c r="C485" s="114">
        <v>6</v>
      </c>
      <c r="D485" s="2" t="s">
        <v>456</v>
      </c>
      <c r="E485" s="114"/>
      <c r="F485" s="18">
        <f>120000</f>
        <v>120000</v>
      </c>
      <c r="G485" s="18">
        <v>360000</v>
      </c>
      <c r="H485" s="18">
        <v>0</v>
      </c>
      <c r="I485" s="18">
        <v>0</v>
      </c>
      <c r="J485" s="18">
        <v>0</v>
      </c>
      <c r="K485" s="53">
        <f>SUM(F485:J485)</f>
        <v>480000</v>
      </c>
      <c r="L485" s="24" t="s">
        <v>312</v>
      </c>
    </row>
    <row r="486" spans="1:12" s="52" customFormat="1" ht="12" customHeight="1" x14ac:dyDescent="0.2">
      <c r="A486" s="22" t="s">
        <v>654</v>
      </c>
      <c r="B486" s="74">
        <v>20</v>
      </c>
      <c r="C486" s="114">
        <v>7</v>
      </c>
      <c r="D486" s="2" t="s">
        <v>456</v>
      </c>
      <c r="E486" s="114"/>
      <c r="F486" s="18">
        <v>0</v>
      </c>
      <c r="G486" s="18">
        <v>0</v>
      </c>
      <c r="H486" s="18">
        <v>0</v>
      </c>
      <c r="I486" s="18">
        <v>0</v>
      </c>
      <c r="J486" s="18">
        <v>0</v>
      </c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4">
        <v>20</v>
      </c>
      <c r="C487" s="114">
        <v>8</v>
      </c>
      <c r="D487" s="2" t="s">
        <v>456</v>
      </c>
      <c r="E487" s="114"/>
      <c r="F487" s="18">
        <v>40000</v>
      </c>
      <c r="G487" s="18">
        <v>120000</v>
      </c>
      <c r="H487" s="18">
        <v>0</v>
      </c>
      <c r="I487" s="18">
        <v>0</v>
      </c>
      <c r="J487" s="18">
        <v>0</v>
      </c>
      <c r="K487" s="53">
        <f t="shared" si="34"/>
        <v>160000</v>
      </c>
      <c r="L487" s="24" t="s">
        <v>312</v>
      </c>
    </row>
    <row r="488" spans="1:12" s="52" customFormat="1" ht="12" customHeight="1" x14ac:dyDescent="0.2">
      <c r="A488" s="197" t="s">
        <v>656</v>
      </c>
      <c r="B488" s="198">
        <v>20</v>
      </c>
      <c r="C488" s="199">
        <v>9</v>
      </c>
      <c r="D488" s="200" t="s">
        <v>456</v>
      </c>
      <c r="E488" s="199"/>
      <c r="F488" s="18">
        <v>80000</v>
      </c>
      <c r="G488" s="18">
        <v>240000</v>
      </c>
      <c r="H488" s="18">
        <v>0</v>
      </c>
      <c r="I488" s="18">
        <v>0</v>
      </c>
      <c r="J488" s="18">
        <v>0</v>
      </c>
      <c r="K488" s="201">
        <f t="shared" si="34"/>
        <v>320000</v>
      </c>
      <c r="L488" s="202" t="s">
        <v>312</v>
      </c>
    </row>
    <row r="489" spans="1:12" s="52" customFormat="1" ht="12" customHeight="1" thickBot="1" x14ac:dyDescent="0.25">
      <c r="A489" s="22" t="s">
        <v>657</v>
      </c>
      <c r="B489" s="74">
        <v>20</v>
      </c>
      <c r="C489" s="114">
        <v>10</v>
      </c>
      <c r="D489" s="2" t="s">
        <v>456</v>
      </c>
      <c r="E489" s="114"/>
      <c r="F489" s="18">
        <f>1030+3080</f>
        <v>4110</v>
      </c>
      <c r="G489" s="18">
        <f>6090+3060+3060</f>
        <v>12210</v>
      </c>
      <c r="H489" s="18">
        <v>0</v>
      </c>
      <c r="I489" s="18">
        <v>0</v>
      </c>
      <c r="J489" s="18">
        <v>0</v>
      </c>
      <c r="K489" s="53">
        <f t="shared" si="34"/>
        <v>16320</v>
      </c>
      <c r="L489" s="24" t="s">
        <v>312</v>
      </c>
    </row>
    <row r="490" spans="1:12" s="52" customFormat="1" ht="12" customHeight="1" thickTop="1" x14ac:dyDescent="0.2">
      <c r="A490" s="138" t="s">
        <v>658</v>
      </c>
      <c r="B490" s="44">
        <v>20</v>
      </c>
      <c r="C490" s="192">
        <v>11</v>
      </c>
      <c r="D490" s="39" t="s">
        <v>456</v>
      </c>
      <c r="E490" s="192"/>
      <c r="F490" s="42">
        <f>SUM(F488:F489)</f>
        <v>84110</v>
      </c>
      <c r="G490" s="42">
        <f>SUM(G488:G489)</f>
        <v>252210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336320</v>
      </c>
      <c r="L490" s="45" t="s">
        <v>312</v>
      </c>
    </row>
    <row r="491" spans="1:12" s="52" customFormat="1" ht="12" customHeight="1" x14ac:dyDescent="0.2">
      <c r="A491" s="197" t="s">
        <v>685</v>
      </c>
      <c r="B491" s="198">
        <v>20</v>
      </c>
      <c r="C491" s="199">
        <v>12</v>
      </c>
      <c r="D491" s="200" t="s">
        <v>456</v>
      </c>
      <c r="E491" s="199"/>
      <c r="F491" s="18">
        <v>40000</v>
      </c>
      <c r="G491" s="18">
        <v>120000</v>
      </c>
      <c r="H491" s="18">
        <v>0</v>
      </c>
      <c r="I491" s="18">
        <v>0</v>
      </c>
      <c r="J491" s="18">
        <v>0</v>
      </c>
      <c r="K491" s="201">
        <f t="shared" si="34"/>
        <v>160000</v>
      </c>
      <c r="L491" s="202" t="s">
        <v>312</v>
      </c>
    </row>
    <row r="492" spans="1:12" s="52" customFormat="1" ht="12" customHeight="1" thickBot="1" x14ac:dyDescent="0.25">
      <c r="A492" s="22" t="s">
        <v>659</v>
      </c>
      <c r="B492" s="74">
        <v>20</v>
      </c>
      <c r="C492" s="114">
        <v>13</v>
      </c>
      <c r="D492" s="2" t="s">
        <v>456</v>
      </c>
      <c r="E492" s="114"/>
      <c r="F492" s="18">
        <f>2050+1030</f>
        <v>3080</v>
      </c>
      <c r="G492" s="18">
        <f>6090+3060</f>
        <v>9150</v>
      </c>
      <c r="H492" s="18">
        <v>0</v>
      </c>
      <c r="I492" s="18">
        <v>0</v>
      </c>
      <c r="J492" s="18">
        <v>0</v>
      </c>
      <c r="K492" s="53">
        <f t="shared" si="34"/>
        <v>12230</v>
      </c>
      <c r="L492" s="24" t="s">
        <v>312</v>
      </c>
    </row>
    <row r="493" spans="1:12" s="52" customFormat="1" ht="12" customHeight="1" thickTop="1" x14ac:dyDescent="0.2">
      <c r="A493" s="138" t="s">
        <v>660</v>
      </c>
      <c r="B493" s="44">
        <v>20</v>
      </c>
      <c r="C493" s="192">
        <v>14</v>
      </c>
      <c r="D493" s="39" t="s">
        <v>456</v>
      </c>
      <c r="E493" s="192"/>
      <c r="F493" s="42">
        <f>SUM(F491:F492)</f>
        <v>43080</v>
      </c>
      <c r="G493" s="42">
        <f>SUM(G491:G492)</f>
        <v>129150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172230</v>
      </c>
      <c r="L493" s="45" t="s">
        <v>312</v>
      </c>
    </row>
    <row r="494" spans="1:12" s="52" customFormat="1" ht="12" customHeight="1" x14ac:dyDescent="0.2">
      <c r="A494" s="95"/>
      <c r="B494" s="104"/>
      <c r="C494" s="114"/>
      <c r="D494" s="114"/>
      <c r="E494" s="114"/>
      <c r="F494" s="102"/>
      <c r="G494" s="102"/>
      <c r="H494" s="105"/>
      <c r="I494" s="105"/>
      <c r="J494" s="105"/>
      <c r="K494" s="105"/>
      <c r="L494" s="105"/>
    </row>
    <row r="495" spans="1:12" s="52" customFormat="1" ht="12" customHeight="1" x14ac:dyDescent="0.2">
      <c r="C495" s="114"/>
      <c r="D495" s="114"/>
      <c r="E495" s="114"/>
      <c r="F495" s="102"/>
      <c r="G495" s="102"/>
      <c r="H495" s="105"/>
      <c r="I495" s="105"/>
      <c r="J495" s="105"/>
      <c r="K495" s="105"/>
      <c r="L495" s="105"/>
    </row>
    <row r="496" spans="1:12" s="52" customFormat="1" ht="12" customHeight="1" x14ac:dyDescent="0.2">
      <c r="B496" s="104"/>
      <c r="F496" s="52" t="s">
        <v>41</v>
      </c>
      <c r="G496" s="102" t="s">
        <v>42</v>
      </c>
      <c r="H496" s="102" t="s">
        <v>43</v>
      </c>
      <c r="I496" s="105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5" t="s">
        <v>40</v>
      </c>
      <c r="B497" s="104">
        <v>20</v>
      </c>
      <c r="C497" s="114">
        <v>15</v>
      </c>
      <c r="D497" s="2" t="s">
        <v>456</v>
      </c>
      <c r="E497" s="114"/>
      <c r="F497" s="143"/>
      <c r="G497" s="143"/>
      <c r="H497" s="143"/>
      <c r="I497" s="143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5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5" t="s">
        <v>886</v>
      </c>
      <c r="B499" s="22"/>
      <c r="C499" s="22"/>
      <c r="D499" s="22"/>
      <c r="E499" s="22"/>
      <c r="F499" s="121" t="s">
        <v>46</v>
      </c>
      <c r="G499" s="121"/>
      <c r="H499" s="122" t="s">
        <v>47</v>
      </c>
      <c r="I499" s="122"/>
      <c r="J499" s="53"/>
      <c r="K499" s="53"/>
      <c r="L499" s="53"/>
    </row>
    <row r="500" spans="1:12" s="52" customFormat="1" ht="12" customHeight="1" x14ac:dyDescent="0.2">
      <c r="A500" s="95"/>
      <c r="B500" s="22"/>
      <c r="C500" s="22"/>
      <c r="D500" s="22"/>
      <c r="E500" s="22"/>
      <c r="F500" s="112" t="s">
        <v>48</v>
      </c>
      <c r="G500" s="112" t="s">
        <v>49</v>
      </c>
      <c r="H500" s="113" t="s">
        <v>48</v>
      </c>
      <c r="I500" s="113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4">
        <v>20</v>
      </c>
      <c r="C501" s="114">
        <v>16</v>
      </c>
      <c r="D501" s="2" t="s">
        <v>456</v>
      </c>
      <c r="E501" s="114">
        <v>210</v>
      </c>
      <c r="F501" s="18">
        <v>0</v>
      </c>
      <c r="G501" s="24" t="s">
        <v>312</v>
      </c>
      <c r="H501" s="18">
        <v>0</v>
      </c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4">
        <v>20</v>
      </c>
      <c r="C502" s="114">
        <v>17</v>
      </c>
      <c r="D502" s="2" t="s">
        <v>456</v>
      </c>
      <c r="E502" s="114">
        <v>220</v>
      </c>
      <c r="F502" s="18">
        <v>0</v>
      </c>
      <c r="G502" s="24" t="s">
        <v>312</v>
      </c>
      <c r="H502" s="18">
        <v>0</v>
      </c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4">
        <v>20</v>
      </c>
      <c r="C503" s="114">
        <v>18</v>
      </c>
      <c r="D503" s="2" t="s">
        <v>456</v>
      </c>
      <c r="E503" s="114">
        <v>230</v>
      </c>
      <c r="F503" s="18">
        <v>0</v>
      </c>
      <c r="G503" s="24" t="s">
        <v>312</v>
      </c>
      <c r="H503" s="18">
        <v>0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4">
        <v>20</v>
      </c>
      <c r="C504" s="114">
        <v>19</v>
      </c>
      <c r="D504" s="2" t="s">
        <v>456</v>
      </c>
      <c r="E504" s="114">
        <v>240</v>
      </c>
      <c r="F504" s="18">
        <v>0</v>
      </c>
      <c r="G504" s="24" t="s">
        <v>312</v>
      </c>
      <c r="H504" s="18">
        <v>0</v>
      </c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4">
        <v>20</v>
      </c>
      <c r="C505" s="114">
        <v>20</v>
      </c>
      <c r="D505" s="2" t="s">
        <v>456</v>
      </c>
      <c r="E505" s="114">
        <v>250</v>
      </c>
      <c r="F505" s="18">
        <v>0</v>
      </c>
      <c r="G505" s="24" t="s">
        <v>312</v>
      </c>
      <c r="H505" s="18">
        <v>0</v>
      </c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4">
        <v>20</v>
      </c>
      <c r="C506" s="114">
        <v>21</v>
      </c>
      <c r="D506" s="2" t="s">
        <v>456</v>
      </c>
      <c r="E506" s="114">
        <v>710</v>
      </c>
      <c r="F506" s="24" t="s">
        <v>312</v>
      </c>
      <c r="G506" s="18">
        <v>0</v>
      </c>
      <c r="H506" s="24" t="s">
        <v>312</v>
      </c>
      <c r="I506" s="18">
        <v>0</v>
      </c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5" t="s">
        <v>451</v>
      </c>
      <c r="B507" s="74">
        <v>20</v>
      </c>
      <c r="C507" s="114">
        <v>22</v>
      </c>
      <c r="D507" s="2" t="s">
        <v>456</v>
      </c>
      <c r="E507" s="114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5" t="s">
        <v>733</v>
      </c>
      <c r="B508" s="104"/>
      <c r="C508" s="114"/>
      <c r="D508" s="114"/>
      <c r="E508" s="114"/>
      <c r="F508" s="173" t="s">
        <v>724</v>
      </c>
      <c r="G508" s="173" t="s">
        <v>725</v>
      </c>
      <c r="H508" s="173" t="s">
        <v>726</v>
      </c>
      <c r="I508" s="173" t="s">
        <v>727</v>
      </c>
      <c r="J508" s="173" t="s">
        <v>728</v>
      </c>
      <c r="K508" s="173" t="s">
        <v>729</v>
      </c>
      <c r="L508" s="105"/>
    </row>
    <row r="509" spans="1:12" s="52" customFormat="1" ht="12" customHeight="1" x14ac:dyDescent="0.2">
      <c r="A509" s="174" t="s">
        <v>732</v>
      </c>
      <c r="B509" s="104"/>
      <c r="C509" s="114"/>
      <c r="D509" s="114"/>
      <c r="E509" s="114"/>
      <c r="F509" s="102" t="s">
        <v>54</v>
      </c>
      <c r="G509" s="102" t="s">
        <v>55</v>
      </c>
      <c r="H509" s="105" t="s">
        <v>56</v>
      </c>
      <c r="I509" s="105" t="s">
        <v>57</v>
      </c>
      <c r="J509" s="105" t="s">
        <v>58</v>
      </c>
      <c r="K509" s="105" t="s">
        <v>59</v>
      </c>
      <c r="L509" s="105" t="s">
        <v>5</v>
      </c>
    </row>
    <row r="510" spans="1:12" s="52" customFormat="1" ht="12" customHeight="1" x14ac:dyDescent="0.2">
      <c r="A510" s="95" t="s">
        <v>60</v>
      </c>
      <c r="B510" s="104"/>
      <c r="C510" s="114"/>
      <c r="D510" s="114"/>
      <c r="E510" s="114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4">
        <v>21</v>
      </c>
      <c r="C511" s="114">
        <v>1</v>
      </c>
      <c r="D511" s="2" t="s">
        <v>456</v>
      </c>
      <c r="E511" s="114"/>
      <c r="F511" s="18">
        <f t="shared" ref="F511:K511" si="35">F190+F269</f>
        <v>565578.03</v>
      </c>
      <c r="G511" s="18">
        <f t="shared" si="35"/>
        <v>142898.79</v>
      </c>
      <c r="H511" s="18">
        <f t="shared" si="35"/>
        <v>769446.61</v>
      </c>
      <c r="I511" s="18">
        <f t="shared" si="35"/>
        <v>2618.0500000000002</v>
      </c>
      <c r="J511" s="18">
        <f t="shared" si="35"/>
        <v>1647.21</v>
      </c>
      <c r="K511" s="18">
        <f t="shared" si="35"/>
        <v>0</v>
      </c>
      <c r="L511" s="87">
        <f>SUM(F511:K511)</f>
        <v>1482188.6900000002</v>
      </c>
    </row>
    <row r="512" spans="1:12" s="52" customFormat="1" ht="12" customHeight="1" x14ac:dyDescent="0.2">
      <c r="A512" s="22" t="s">
        <v>668</v>
      </c>
      <c r="B512" s="104">
        <v>21</v>
      </c>
      <c r="C512" s="114">
        <v>2</v>
      </c>
      <c r="D512" s="2" t="s">
        <v>456</v>
      </c>
      <c r="E512" s="114"/>
      <c r="F512" s="18">
        <f t="shared" ref="F512:K512" si="36">F208+F288</f>
        <v>0</v>
      </c>
      <c r="G512" s="18">
        <f t="shared" si="36"/>
        <v>0</v>
      </c>
      <c r="H512" s="18">
        <f t="shared" si="36"/>
        <v>0</v>
      </c>
      <c r="I512" s="18">
        <f t="shared" si="36"/>
        <v>0</v>
      </c>
      <c r="J512" s="18">
        <f t="shared" si="36"/>
        <v>0</v>
      </c>
      <c r="K512" s="18">
        <f t="shared" si="36"/>
        <v>0</v>
      </c>
      <c r="L512" s="87">
        <f>SUM(F512:K512)</f>
        <v>0</v>
      </c>
    </row>
    <row r="513" spans="1:13" s="52" customFormat="1" ht="12" customHeight="1" thickBot="1" x14ac:dyDescent="0.25">
      <c r="A513" s="22" t="s">
        <v>669</v>
      </c>
      <c r="B513" s="104">
        <v>21</v>
      </c>
      <c r="C513" s="114">
        <v>3</v>
      </c>
      <c r="D513" s="2" t="s">
        <v>456</v>
      </c>
      <c r="E513" s="114"/>
      <c r="F513" s="18">
        <f t="shared" ref="F513:K513" si="37">F226+F307</f>
        <v>0</v>
      </c>
      <c r="G513" s="18">
        <f t="shared" si="37"/>
        <v>0</v>
      </c>
      <c r="H513" s="18">
        <f t="shared" si="37"/>
        <v>97196.31</v>
      </c>
      <c r="I513" s="18">
        <f t="shared" si="37"/>
        <v>0</v>
      </c>
      <c r="J513" s="18">
        <f t="shared" si="37"/>
        <v>0</v>
      </c>
      <c r="K513" s="18">
        <f t="shared" si="37"/>
        <v>0</v>
      </c>
      <c r="L513" s="87">
        <f>SUM(F513:K513)</f>
        <v>97196.31</v>
      </c>
    </row>
    <row r="514" spans="1:13" s="52" customFormat="1" ht="12" customHeight="1" thickTop="1" x14ac:dyDescent="0.2">
      <c r="A514" s="138" t="s">
        <v>63</v>
      </c>
      <c r="B514" s="106">
        <v>21</v>
      </c>
      <c r="C514" s="192">
        <v>4</v>
      </c>
      <c r="D514" s="193" t="s">
        <v>456</v>
      </c>
      <c r="E514" s="192"/>
      <c r="F514" s="107">
        <f>SUM(F511:F513)</f>
        <v>565578.03</v>
      </c>
      <c r="G514" s="107">
        <f t="shared" ref="G514:L514" si="38">SUM(G511:G513)</f>
        <v>142898.79</v>
      </c>
      <c r="H514" s="107">
        <f t="shared" si="38"/>
        <v>866642.91999999993</v>
      </c>
      <c r="I514" s="107">
        <f t="shared" si="38"/>
        <v>2618.0500000000002</v>
      </c>
      <c r="J514" s="107">
        <f t="shared" si="38"/>
        <v>1647.21</v>
      </c>
      <c r="K514" s="107">
        <f t="shared" si="38"/>
        <v>0</v>
      </c>
      <c r="L514" s="88">
        <f t="shared" si="38"/>
        <v>1579385.0000000002</v>
      </c>
    </row>
    <row r="515" spans="1:13" s="52" customFormat="1" ht="12" customHeight="1" x14ac:dyDescent="0.2">
      <c r="A515" s="95" t="s">
        <v>64</v>
      </c>
      <c r="B515" s="104"/>
      <c r="C515" s="114"/>
      <c r="D515" s="114"/>
      <c r="E515" s="114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4">
        <v>21</v>
      </c>
      <c r="C516" s="114">
        <v>5</v>
      </c>
      <c r="D516" s="2" t="s">
        <v>456</v>
      </c>
      <c r="E516" s="114"/>
      <c r="F516" s="18">
        <v>4186.3999999999996</v>
      </c>
      <c r="G516" s="18">
        <v>148.44</v>
      </c>
      <c r="H516" s="18">
        <v>383.48</v>
      </c>
      <c r="I516" s="18">
        <v>0</v>
      </c>
      <c r="J516" s="18">
        <v>0</v>
      </c>
      <c r="K516" s="18">
        <v>0</v>
      </c>
      <c r="L516" s="87">
        <f>SUM(F516:K516)</f>
        <v>4718.32</v>
      </c>
    </row>
    <row r="517" spans="1:13" s="52" customFormat="1" ht="12" customHeight="1" x14ac:dyDescent="0.2">
      <c r="A517" s="22" t="s">
        <v>668</v>
      </c>
      <c r="B517" s="104">
        <v>21</v>
      </c>
      <c r="C517" s="114">
        <v>6</v>
      </c>
      <c r="D517" s="2" t="s">
        <v>456</v>
      </c>
      <c r="E517" s="114"/>
      <c r="F517" s="18">
        <v>0</v>
      </c>
      <c r="G517" s="18">
        <v>0</v>
      </c>
      <c r="H517" s="18">
        <v>0</v>
      </c>
      <c r="I517" s="18">
        <v>0</v>
      </c>
      <c r="J517" s="18">
        <v>0</v>
      </c>
      <c r="K517" s="18">
        <v>0</v>
      </c>
      <c r="L517" s="87">
        <f>SUM(F517:K517)</f>
        <v>0</v>
      </c>
    </row>
    <row r="518" spans="1:13" s="3" customFormat="1" ht="12" customHeight="1" thickBot="1" x14ac:dyDescent="0.2">
      <c r="A518" s="22" t="s">
        <v>669</v>
      </c>
      <c r="B518" s="117">
        <v>21</v>
      </c>
      <c r="C518" s="117">
        <v>7</v>
      </c>
      <c r="D518" s="2" t="s">
        <v>456</v>
      </c>
      <c r="E518" s="117"/>
      <c r="F518" s="18">
        <v>0</v>
      </c>
      <c r="G518" s="18">
        <v>0</v>
      </c>
      <c r="H518" s="18">
        <v>0</v>
      </c>
      <c r="I518" s="18">
        <v>0</v>
      </c>
      <c r="J518" s="18">
        <v>0</v>
      </c>
      <c r="K518" s="18">
        <v>0</v>
      </c>
      <c r="L518" s="87">
        <f>SUM(F518:K518)</f>
        <v>0</v>
      </c>
      <c r="M518" s="8"/>
    </row>
    <row r="519" spans="1:13" s="3" customFormat="1" ht="12" customHeight="1" thickTop="1" x14ac:dyDescent="0.15">
      <c r="A519" s="138" t="s">
        <v>65</v>
      </c>
      <c r="B519" s="106">
        <v>21</v>
      </c>
      <c r="C519" s="106">
        <v>8</v>
      </c>
      <c r="D519" s="154" t="s">
        <v>456</v>
      </c>
      <c r="E519" s="106"/>
      <c r="F519" s="88">
        <f>SUM(F516:F518)</f>
        <v>4186.3999999999996</v>
      </c>
      <c r="G519" s="88">
        <f t="shared" ref="G519:L519" si="39">SUM(G516:G518)</f>
        <v>148.44</v>
      </c>
      <c r="H519" s="88">
        <f t="shared" si="39"/>
        <v>383.48</v>
      </c>
      <c r="I519" s="88">
        <f t="shared" si="39"/>
        <v>0</v>
      </c>
      <c r="J519" s="88">
        <f t="shared" si="39"/>
        <v>0</v>
      </c>
      <c r="K519" s="88">
        <f t="shared" si="39"/>
        <v>0</v>
      </c>
      <c r="L519" s="88">
        <f t="shared" si="39"/>
        <v>4718.32</v>
      </c>
      <c r="M519" s="8"/>
    </row>
    <row r="520" spans="1:13" s="3" customFormat="1" ht="12" customHeight="1" x14ac:dyDescent="0.15">
      <c r="A520" s="96" t="s">
        <v>66</v>
      </c>
      <c r="B520" s="104"/>
      <c r="C520" s="104"/>
      <c r="D520" s="104"/>
      <c r="E520" s="104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4">
        <v>21</v>
      </c>
      <c r="C521" s="104">
        <v>9</v>
      </c>
      <c r="D521" s="2" t="s">
        <v>456</v>
      </c>
      <c r="E521" s="104"/>
      <c r="F521" s="18">
        <v>73041.440000000002</v>
      </c>
      <c r="G521" s="18">
        <v>21630.21</v>
      </c>
      <c r="H521" s="18">
        <v>90.27</v>
      </c>
      <c r="I521" s="18">
        <v>198.56</v>
      </c>
      <c r="J521" s="18">
        <v>0</v>
      </c>
      <c r="K521" s="18">
        <v>0</v>
      </c>
      <c r="L521" s="87">
        <f>SUM(F521:K521)</f>
        <v>94960.48</v>
      </c>
      <c r="M521" s="8"/>
    </row>
    <row r="522" spans="1:13" s="3" customFormat="1" ht="12" customHeight="1" x14ac:dyDescent="0.15">
      <c r="A522" s="22" t="s">
        <v>668</v>
      </c>
      <c r="B522" s="104">
        <v>21</v>
      </c>
      <c r="C522" s="104">
        <v>10</v>
      </c>
      <c r="D522" s="2" t="s">
        <v>456</v>
      </c>
      <c r="E522" s="104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7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4">
        <v>21</v>
      </c>
      <c r="C523" s="104">
        <v>11</v>
      </c>
      <c r="D523" s="2" t="s">
        <v>456</v>
      </c>
      <c r="E523" s="104"/>
      <c r="F523" s="18">
        <v>0</v>
      </c>
      <c r="G523" s="18">
        <v>0</v>
      </c>
      <c r="H523" s="18">
        <v>0</v>
      </c>
      <c r="I523" s="18">
        <v>0</v>
      </c>
      <c r="J523" s="18">
        <v>0</v>
      </c>
      <c r="K523" s="18">
        <v>0</v>
      </c>
      <c r="L523" s="87">
        <f>SUM(F523:K523)</f>
        <v>0</v>
      </c>
      <c r="M523" s="8"/>
    </row>
    <row r="524" spans="1:13" s="3" customFormat="1" ht="12" customHeight="1" thickTop="1" x14ac:dyDescent="0.15">
      <c r="A524" s="138" t="s">
        <v>67</v>
      </c>
      <c r="B524" s="106">
        <v>21</v>
      </c>
      <c r="C524" s="106">
        <v>12</v>
      </c>
      <c r="D524" s="154" t="s">
        <v>456</v>
      </c>
      <c r="E524" s="106"/>
      <c r="F524" s="88">
        <f>SUM(F521:F523)</f>
        <v>73041.440000000002</v>
      </c>
      <c r="G524" s="88">
        <f t="shared" ref="G524:L524" si="40">SUM(G521:G523)</f>
        <v>21630.21</v>
      </c>
      <c r="H524" s="88">
        <f t="shared" si="40"/>
        <v>90.27</v>
      </c>
      <c r="I524" s="88">
        <f t="shared" si="40"/>
        <v>198.56</v>
      </c>
      <c r="J524" s="88">
        <f t="shared" si="40"/>
        <v>0</v>
      </c>
      <c r="K524" s="88">
        <f t="shared" si="40"/>
        <v>0</v>
      </c>
      <c r="L524" s="88">
        <f t="shared" si="40"/>
        <v>94960.48</v>
      </c>
      <c r="M524" s="8"/>
    </row>
    <row r="525" spans="1:13" s="3" customFormat="1" ht="12" customHeight="1" x14ac:dyDescent="0.15">
      <c r="A525" s="96" t="s">
        <v>68</v>
      </c>
      <c r="B525" s="104"/>
      <c r="C525" s="104"/>
      <c r="D525" s="104"/>
      <c r="E525" s="104"/>
      <c r="F525" s="191" t="s">
        <v>312</v>
      </c>
      <c r="G525" s="191" t="s">
        <v>312</v>
      </c>
      <c r="H525" s="191" t="s">
        <v>312</v>
      </c>
      <c r="I525" s="191" t="s">
        <v>312</v>
      </c>
      <c r="J525" s="191" t="s">
        <v>312</v>
      </c>
      <c r="K525" s="191" t="s">
        <v>312</v>
      </c>
      <c r="L525" s="191" t="s">
        <v>312</v>
      </c>
      <c r="M525" s="8"/>
    </row>
    <row r="526" spans="1:13" s="3" customFormat="1" ht="12" customHeight="1" x14ac:dyDescent="0.15">
      <c r="A526" s="22" t="s">
        <v>667</v>
      </c>
      <c r="B526" s="104">
        <v>21</v>
      </c>
      <c r="C526" s="104">
        <v>13</v>
      </c>
      <c r="D526" s="2" t="s">
        <v>456</v>
      </c>
      <c r="E526" s="104"/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18">
        <v>0</v>
      </c>
      <c r="L526" s="87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4">
        <v>21</v>
      </c>
      <c r="C527" s="104">
        <v>14</v>
      </c>
      <c r="D527" s="2" t="s">
        <v>456</v>
      </c>
      <c r="E527" s="104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7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4">
        <v>21</v>
      </c>
      <c r="C528" s="104">
        <v>15</v>
      </c>
      <c r="D528" s="2" t="s">
        <v>456</v>
      </c>
      <c r="E528" s="104"/>
      <c r="F528" s="18">
        <v>0</v>
      </c>
      <c r="G528" s="18">
        <v>0</v>
      </c>
      <c r="H528" s="18">
        <v>0</v>
      </c>
      <c r="I528" s="18">
        <v>0</v>
      </c>
      <c r="J528" s="18">
        <v>0</v>
      </c>
      <c r="K528" s="18">
        <v>0</v>
      </c>
      <c r="L528" s="87">
        <f>SUM(F528:K528)</f>
        <v>0</v>
      </c>
      <c r="M528" s="8"/>
    </row>
    <row r="529" spans="1:13" s="3" customFormat="1" ht="12" customHeight="1" thickTop="1" x14ac:dyDescent="0.15">
      <c r="A529" s="138" t="s">
        <v>69</v>
      </c>
      <c r="B529" s="106">
        <v>21</v>
      </c>
      <c r="C529" s="106">
        <v>16</v>
      </c>
      <c r="D529" s="154" t="s">
        <v>456</v>
      </c>
      <c r="E529" s="106"/>
      <c r="F529" s="88">
        <f>SUM(F526:F528)</f>
        <v>0</v>
      </c>
      <c r="G529" s="88">
        <f t="shared" ref="G529:L529" si="41">SUM(G526:G528)</f>
        <v>0</v>
      </c>
      <c r="H529" s="88">
        <f t="shared" si="41"/>
        <v>0</v>
      </c>
      <c r="I529" s="88">
        <f t="shared" si="41"/>
        <v>0</v>
      </c>
      <c r="J529" s="88">
        <f t="shared" si="41"/>
        <v>0</v>
      </c>
      <c r="K529" s="88">
        <f t="shared" si="41"/>
        <v>0</v>
      </c>
      <c r="L529" s="88">
        <f t="shared" si="41"/>
        <v>0</v>
      </c>
      <c r="M529" s="8"/>
    </row>
    <row r="530" spans="1:13" s="3" customFormat="1" ht="12" customHeight="1" x14ac:dyDescent="0.15">
      <c r="A530" s="96" t="s">
        <v>70</v>
      </c>
      <c r="B530" s="104"/>
      <c r="C530" s="104"/>
      <c r="D530" s="104"/>
      <c r="E530" s="104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4">
        <v>21</v>
      </c>
      <c r="C531" s="104">
        <v>17</v>
      </c>
      <c r="D531" s="2" t="s">
        <v>456</v>
      </c>
      <c r="E531" s="104"/>
      <c r="F531" s="18">
        <v>47471.75</v>
      </c>
      <c r="G531" s="18">
        <f>ROUND(F531*0.0765,2)</f>
        <v>3631.59</v>
      </c>
      <c r="H531" s="18">
        <v>6277.14</v>
      </c>
      <c r="I531" s="18">
        <v>0</v>
      </c>
      <c r="J531" s="18">
        <v>0</v>
      </c>
      <c r="K531" s="18">
        <v>0</v>
      </c>
      <c r="L531" s="87">
        <f>SUM(F531:K531)</f>
        <v>57380.479999999996</v>
      </c>
      <c r="M531" s="8"/>
    </row>
    <row r="532" spans="1:13" s="3" customFormat="1" ht="12" customHeight="1" x14ac:dyDescent="0.15">
      <c r="A532" s="22" t="s">
        <v>668</v>
      </c>
      <c r="B532" s="104">
        <v>21</v>
      </c>
      <c r="C532" s="104">
        <v>18</v>
      </c>
      <c r="D532" s="2" t="s">
        <v>456</v>
      </c>
      <c r="E532" s="104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7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4">
        <v>21</v>
      </c>
      <c r="C533" s="104">
        <v>19</v>
      </c>
      <c r="D533" s="2" t="s">
        <v>456</v>
      </c>
      <c r="E533" s="104"/>
      <c r="F533" s="18">
        <v>24101.040000000001</v>
      </c>
      <c r="G533" s="18">
        <f>ROUND(F533*0.0765,2)</f>
        <v>1843.73</v>
      </c>
      <c r="H533" s="18">
        <v>3186.86</v>
      </c>
      <c r="I533" s="18">
        <v>0</v>
      </c>
      <c r="J533" s="18">
        <v>0</v>
      </c>
      <c r="K533" s="18">
        <v>0</v>
      </c>
      <c r="L533" s="87">
        <f>SUM(F533:K533)</f>
        <v>29131.63</v>
      </c>
      <c r="M533" s="8"/>
    </row>
    <row r="534" spans="1:13" s="3" customFormat="1" ht="12" customHeight="1" thickTop="1" thickBot="1" x14ac:dyDescent="0.2">
      <c r="A534" s="129" t="s">
        <v>71</v>
      </c>
      <c r="B534" s="188">
        <v>21</v>
      </c>
      <c r="C534" s="188">
        <v>20</v>
      </c>
      <c r="D534" s="189" t="s">
        <v>456</v>
      </c>
      <c r="E534" s="188"/>
      <c r="F534" s="190">
        <f>SUM(F531:F533)</f>
        <v>71572.790000000008</v>
      </c>
      <c r="G534" s="190">
        <f t="shared" ref="G534:L534" si="42">SUM(G531:G533)</f>
        <v>5475.32</v>
      </c>
      <c r="H534" s="190">
        <f t="shared" si="42"/>
        <v>9464</v>
      </c>
      <c r="I534" s="190">
        <f t="shared" si="42"/>
        <v>0</v>
      </c>
      <c r="J534" s="190">
        <f t="shared" si="42"/>
        <v>0</v>
      </c>
      <c r="K534" s="190">
        <f t="shared" si="42"/>
        <v>0</v>
      </c>
      <c r="L534" s="190">
        <f t="shared" si="42"/>
        <v>86512.11</v>
      </c>
      <c r="M534" s="8"/>
    </row>
    <row r="535" spans="1:13" s="3" customFormat="1" ht="12" customHeight="1" thickTop="1" x14ac:dyDescent="0.15">
      <c r="A535" s="97" t="s">
        <v>72</v>
      </c>
      <c r="B535" s="106">
        <v>21</v>
      </c>
      <c r="C535" s="106">
        <v>21</v>
      </c>
      <c r="D535" s="154" t="s">
        <v>456</v>
      </c>
      <c r="E535" s="106"/>
      <c r="F535" s="88">
        <f>F514+F519+F524+F529+F534</f>
        <v>714378.66000000015</v>
      </c>
      <c r="G535" s="88">
        <f t="shared" ref="G535:L535" si="43">G514+G519+G524+G529+G534</f>
        <v>170152.76</v>
      </c>
      <c r="H535" s="88">
        <f t="shared" si="43"/>
        <v>876580.66999999993</v>
      </c>
      <c r="I535" s="88">
        <f t="shared" si="43"/>
        <v>2816.61</v>
      </c>
      <c r="J535" s="88">
        <f t="shared" si="43"/>
        <v>1647.21</v>
      </c>
      <c r="K535" s="88">
        <f t="shared" si="43"/>
        <v>0</v>
      </c>
      <c r="L535" s="88">
        <f t="shared" si="43"/>
        <v>1765575.9100000004</v>
      </c>
      <c r="M535" s="8"/>
    </row>
    <row r="536" spans="1:13" s="3" customFormat="1" ht="12" customHeight="1" x14ac:dyDescent="0.15">
      <c r="A536" s="98"/>
      <c r="B536" s="104"/>
      <c r="C536" s="104"/>
      <c r="D536" s="104"/>
      <c r="E536" s="104"/>
      <c r="F536" s="86"/>
      <c r="G536" s="86"/>
      <c r="H536" s="86"/>
      <c r="I536" s="86"/>
      <c r="J536" s="86"/>
      <c r="K536" s="86"/>
      <c r="L536" s="86"/>
      <c r="M536" s="8"/>
    </row>
    <row r="537" spans="1:13" s="3" customFormat="1" ht="12" customHeight="1" x14ac:dyDescent="0.15">
      <c r="A537" s="99" t="s">
        <v>73</v>
      </c>
      <c r="B537" s="104"/>
      <c r="C537" s="104"/>
      <c r="D537" s="104"/>
      <c r="E537" s="104"/>
      <c r="F537" s="100" t="s">
        <v>74</v>
      </c>
      <c r="G537" s="86" t="s">
        <v>75</v>
      </c>
      <c r="H537" s="86" t="s">
        <v>76</v>
      </c>
      <c r="I537" s="100" t="s">
        <v>77</v>
      </c>
      <c r="J537" s="86" t="s">
        <v>78</v>
      </c>
      <c r="K537" s="100" t="s">
        <v>79</v>
      </c>
      <c r="L537" s="24" t="s">
        <v>312</v>
      </c>
      <c r="M537" s="8"/>
    </row>
    <row r="538" spans="1:13" s="3" customFormat="1" ht="12" customHeight="1" x14ac:dyDescent="0.15">
      <c r="A538" s="99" t="s">
        <v>273</v>
      </c>
      <c r="B538" s="104"/>
      <c r="C538" s="104"/>
      <c r="D538" s="104"/>
      <c r="E538" s="104"/>
      <c r="F538" s="100" t="s">
        <v>80</v>
      </c>
      <c r="G538" s="100" t="s">
        <v>81</v>
      </c>
      <c r="H538" s="100" t="s">
        <v>82</v>
      </c>
      <c r="I538" s="100" t="s">
        <v>83</v>
      </c>
      <c r="J538" s="100" t="s">
        <v>84</v>
      </c>
      <c r="K538" s="86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4">
        <v>21</v>
      </c>
      <c r="C539" s="74">
        <v>22</v>
      </c>
      <c r="D539" s="2" t="s">
        <v>456</v>
      </c>
      <c r="E539" s="74"/>
      <c r="F539" s="86">
        <f>L511</f>
        <v>1482188.6900000002</v>
      </c>
      <c r="G539" s="86">
        <f>L516</f>
        <v>4718.32</v>
      </c>
      <c r="H539" s="86">
        <f>L521</f>
        <v>94960.48</v>
      </c>
      <c r="I539" s="86">
        <f>L526</f>
        <v>0</v>
      </c>
      <c r="J539" s="86">
        <f>L531</f>
        <v>57380.479999999996</v>
      </c>
      <c r="K539" s="86">
        <f>SUM(F539:J539)</f>
        <v>1639247.9700000002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4">
        <v>21</v>
      </c>
      <c r="C540" s="74">
        <v>23</v>
      </c>
      <c r="D540" s="2" t="s">
        <v>456</v>
      </c>
      <c r="E540" s="74"/>
      <c r="F540" s="86">
        <f>L512</f>
        <v>0</v>
      </c>
      <c r="G540" s="86">
        <f>L517</f>
        <v>0</v>
      </c>
      <c r="H540" s="86">
        <f>L522</f>
        <v>0</v>
      </c>
      <c r="I540" s="86">
        <f>L527</f>
        <v>0</v>
      </c>
      <c r="J540" s="86">
        <f>L532</f>
        <v>0</v>
      </c>
      <c r="K540" s="86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4">
        <v>21</v>
      </c>
      <c r="C541" s="74">
        <v>24</v>
      </c>
      <c r="D541" s="2" t="s">
        <v>456</v>
      </c>
      <c r="E541" s="74"/>
      <c r="F541" s="86">
        <f>L513</f>
        <v>97196.31</v>
      </c>
      <c r="G541" s="86">
        <f>L518</f>
        <v>0</v>
      </c>
      <c r="H541" s="86">
        <f>L523</f>
        <v>0</v>
      </c>
      <c r="I541" s="86">
        <f>L528</f>
        <v>0</v>
      </c>
      <c r="J541" s="86">
        <f>L533</f>
        <v>29131.63</v>
      </c>
      <c r="K541" s="86">
        <f>SUM(F541:J541)</f>
        <v>126327.94</v>
      </c>
      <c r="L541" s="24" t="s">
        <v>312</v>
      </c>
      <c r="M541" s="8"/>
    </row>
    <row r="542" spans="1:13" s="3" customFormat="1" ht="12" customHeight="1" thickTop="1" x14ac:dyDescent="0.15">
      <c r="A542" s="168" t="s">
        <v>364</v>
      </c>
      <c r="B542" s="44">
        <v>21</v>
      </c>
      <c r="C542" s="44">
        <v>25</v>
      </c>
      <c r="D542" s="39" t="s">
        <v>456</v>
      </c>
      <c r="E542" s="44"/>
      <c r="F542" s="88">
        <f t="shared" ref="F542:K542" si="44">SUM(F539:F541)</f>
        <v>1579385.0000000002</v>
      </c>
      <c r="G542" s="88">
        <f t="shared" si="44"/>
        <v>4718.32</v>
      </c>
      <c r="H542" s="88">
        <f t="shared" si="44"/>
        <v>94960.48</v>
      </c>
      <c r="I542" s="88">
        <f t="shared" si="44"/>
        <v>0</v>
      </c>
      <c r="J542" s="88">
        <f t="shared" si="44"/>
        <v>86512.11</v>
      </c>
      <c r="K542" s="88">
        <f t="shared" si="44"/>
        <v>1765575.9100000001</v>
      </c>
      <c r="L542" s="24"/>
      <c r="M542" s="8"/>
    </row>
    <row r="543" spans="1:13" s="3" customFormat="1" ht="12" customHeight="1" x14ac:dyDescent="0.15">
      <c r="A543" s="95" t="s">
        <v>610</v>
      </c>
      <c r="B543" s="104"/>
      <c r="C543" s="104"/>
      <c r="D543" s="104"/>
      <c r="E543" s="104"/>
      <c r="F543" s="86"/>
      <c r="G543" s="86"/>
      <c r="H543" s="86"/>
      <c r="I543" s="86"/>
      <c r="J543" s="86"/>
      <c r="K543" s="86"/>
      <c r="L543" s="86"/>
      <c r="M543" s="8"/>
    </row>
    <row r="544" spans="1:13" s="3" customFormat="1" ht="12" customHeight="1" x14ac:dyDescent="0.15">
      <c r="B544" s="104"/>
      <c r="C544" s="114"/>
      <c r="D544" s="114"/>
      <c r="E544" s="114"/>
      <c r="F544" s="173" t="s">
        <v>724</v>
      </c>
      <c r="G544" s="173" t="s">
        <v>725</v>
      </c>
      <c r="H544" s="173" t="s">
        <v>726</v>
      </c>
      <c r="I544" s="173" t="s">
        <v>727</v>
      </c>
      <c r="J544" s="173" t="s">
        <v>728</v>
      </c>
      <c r="K544" s="173" t="s">
        <v>729</v>
      </c>
      <c r="L544" s="105"/>
      <c r="M544" s="8"/>
    </row>
    <row r="545" spans="1:13" s="3" customFormat="1" ht="12" customHeight="1" x14ac:dyDescent="0.15">
      <c r="A545" s="95" t="s">
        <v>50</v>
      </c>
      <c r="B545" s="104"/>
      <c r="C545" s="114"/>
      <c r="D545" s="114"/>
      <c r="E545" s="114"/>
      <c r="F545" s="102" t="s">
        <v>54</v>
      </c>
      <c r="G545" s="102" t="s">
        <v>55</v>
      </c>
      <c r="H545" s="105" t="s">
        <v>56</v>
      </c>
      <c r="I545" s="105" t="s">
        <v>57</v>
      </c>
      <c r="J545" s="105" t="s">
        <v>58</v>
      </c>
      <c r="K545" s="105" t="s">
        <v>59</v>
      </c>
      <c r="L545" s="105" t="s">
        <v>5</v>
      </c>
      <c r="M545" s="8"/>
    </row>
    <row r="546" spans="1:13" s="3" customFormat="1" ht="12" customHeight="1" x14ac:dyDescent="0.15">
      <c r="A546" s="95" t="s">
        <v>85</v>
      </c>
      <c r="B546" s="104"/>
      <c r="C546" s="114"/>
      <c r="D546" s="114"/>
      <c r="E546" s="114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4">
        <v>22</v>
      </c>
      <c r="C547" s="114">
        <v>1</v>
      </c>
      <c r="D547" s="2" t="s">
        <v>456</v>
      </c>
      <c r="E547" s="114"/>
      <c r="F547" s="18">
        <v>0</v>
      </c>
      <c r="G547" s="18">
        <v>0</v>
      </c>
      <c r="H547" s="18">
        <v>0</v>
      </c>
      <c r="I547" s="18">
        <v>0</v>
      </c>
      <c r="J547" s="18">
        <v>0</v>
      </c>
      <c r="K547" s="18">
        <v>0</v>
      </c>
      <c r="L547" s="87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4">
        <v>22</v>
      </c>
      <c r="C548" s="114">
        <v>2</v>
      </c>
      <c r="D548" s="2" t="s">
        <v>456</v>
      </c>
      <c r="E548" s="114"/>
      <c r="F548" s="18">
        <v>0</v>
      </c>
      <c r="G548" s="18">
        <v>0</v>
      </c>
      <c r="H548" s="18">
        <v>0</v>
      </c>
      <c r="I548" s="18">
        <v>0</v>
      </c>
      <c r="J548" s="18">
        <v>0</v>
      </c>
      <c r="K548" s="18">
        <v>0</v>
      </c>
      <c r="L548" s="87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4">
        <v>22</v>
      </c>
      <c r="C549" s="114">
        <v>3</v>
      </c>
      <c r="D549" s="2" t="s">
        <v>456</v>
      </c>
      <c r="E549" s="114"/>
      <c r="F549" s="18">
        <v>0</v>
      </c>
      <c r="G549" s="18">
        <v>0</v>
      </c>
      <c r="H549" s="18">
        <v>0</v>
      </c>
      <c r="I549" s="18">
        <v>0</v>
      </c>
      <c r="J549" s="18">
        <v>0</v>
      </c>
      <c r="K549" s="18">
        <v>0</v>
      </c>
      <c r="L549" s="87">
        <f>SUM(F549:K549)</f>
        <v>0</v>
      </c>
      <c r="M549" s="8"/>
    </row>
    <row r="550" spans="1:13" s="3" customFormat="1" ht="12" customHeight="1" thickTop="1" x14ac:dyDescent="0.15">
      <c r="A550" s="138" t="s">
        <v>63</v>
      </c>
      <c r="B550" s="106">
        <v>22</v>
      </c>
      <c r="C550" s="192">
        <v>4</v>
      </c>
      <c r="D550" s="193" t="s">
        <v>456</v>
      </c>
      <c r="E550" s="192"/>
      <c r="F550" s="107">
        <f t="shared" ref="F550:L550" si="45">SUM(F547:F549)</f>
        <v>0</v>
      </c>
      <c r="G550" s="107">
        <f t="shared" si="45"/>
        <v>0</v>
      </c>
      <c r="H550" s="107">
        <f t="shared" si="45"/>
        <v>0</v>
      </c>
      <c r="I550" s="107">
        <f t="shared" si="45"/>
        <v>0</v>
      </c>
      <c r="J550" s="107">
        <f t="shared" si="45"/>
        <v>0</v>
      </c>
      <c r="K550" s="107">
        <f t="shared" si="45"/>
        <v>0</v>
      </c>
      <c r="L550" s="88">
        <f t="shared" si="45"/>
        <v>0</v>
      </c>
      <c r="M550" s="8"/>
    </row>
    <row r="551" spans="1:13" s="3" customFormat="1" ht="12" customHeight="1" x14ac:dyDescent="0.15">
      <c r="A551" s="95" t="s">
        <v>86</v>
      </c>
      <c r="B551" s="104"/>
      <c r="C551" s="114"/>
      <c r="D551" s="114"/>
      <c r="E551" s="114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4">
        <v>22</v>
      </c>
      <c r="C552" s="114">
        <v>5</v>
      </c>
      <c r="D552" s="2" t="s">
        <v>456</v>
      </c>
      <c r="E552" s="114"/>
      <c r="F552" s="18">
        <v>0</v>
      </c>
      <c r="G552" s="18">
        <v>0</v>
      </c>
      <c r="H552" s="18">
        <v>0</v>
      </c>
      <c r="I552" s="18">
        <v>0</v>
      </c>
      <c r="J552" s="18">
        <v>0</v>
      </c>
      <c r="K552" s="18">
        <v>0</v>
      </c>
      <c r="L552" s="87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4">
        <v>22</v>
      </c>
      <c r="C553" s="114">
        <v>6</v>
      </c>
      <c r="D553" s="2" t="s">
        <v>456</v>
      </c>
      <c r="E553" s="114"/>
      <c r="F553" s="18">
        <v>0</v>
      </c>
      <c r="G553" s="18">
        <v>0</v>
      </c>
      <c r="H553" s="18">
        <v>0</v>
      </c>
      <c r="I553" s="18">
        <v>0</v>
      </c>
      <c r="J553" s="18">
        <v>0</v>
      </c>
      <c r="K553" s="18">
        <v>0</v>
      </c>
      <c r="L553" s="87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4">
        <v>22</v>
      </c>
      <c r="C554" s="117">
        <v>7</v>
      </c>
      <c r="D554" s="2" t="s">
        <v>456</v>
      </c>
      <c r="E554" s="117"/>
      <c r="F554" s="18">
        <v>0</v>
      </c>
      <c r="G554" s="18">
        <v>0</v>
      </c>
      <c r="H554" s="18">
        <v>0</v>
      </c>
      <c r="I554" s="18">
        <v>0</v>
      </c>
      <c r="J554" s="18">
        <v>0</v>
      </c>
      <c r="K554" s="18">
        <v>0</v>
      </c>
      <c r="L554" s="87">
        <f>SUM(F554:K554)</f>
        <v>0</v>
      </c>
      <c r="M554" s="8"/>
    </row>
    <row r="555" spans="1:13" s="3" customFormat="1" ht="12" customHeight="1" thickTop="1" x14ac:dyDescent="0.15">
      <c r="A555" s="138" t="s">
        <v>65</v>
      </c>
      <c r="B555" s="106">
        <v>22</v>
      </c>
      <c r="C555" s="106">
        <v>8</v>
      </c>
      <c r="D555" s="193" t="s">
        <v>456</v>
      </c>
      <c r="E555" s="106"/>
      <c r="F555" s="88">
        <f t="shared" ref="F555:L555" si="46">SUM(F552:F554)</f>
        <v>0</v>
      </c>
      <c r="G555" s="88">
        <f t="shared" si="46"/>
        <v>0</v>
      </c>
      <c r="H555" s="88">
        <f t="shared" si="46"/>
        <v>0</v>
      </c>
      <c r="I555" s="88">
        <f t="shared" si="46"/>
        <v>0</v>
      </c>
      <c r="J555" s="88">
        <f t="shared" si="46"/>
        <v>0</v>
      </c>
      <c r="K555" s="88">
        <f t="shared" si="46"/>
        <v>0</v>
      </c>
      <c r="L555" s="88">
        <f t="shared" si="46"/>
        <v>0</v>
      </c>
      <c r="M555" s="8"/>
    </row>
    <row r="556" spans="1:13" s="3" customFormat="1" ht="12" customHeight="1" x14ac:dyDescent="0.15">
      <c r="A556" s="96" t="s">
        <v>87</v>
      </c>
      <c r="B556" s="104"/>
      <c r="C556" s="104"/>
      <c r="D556" s="104"/>
      <c r="E556" s="104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4">
        <v>22</v>
      </c>
      <c r="C557" s="104">
        <v>9</v>
      </c>
      <c r="D557" s="2" t="s">
        <v>456</v>
      </c>
      <c r="E557" s="104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7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4">
        <v>22</v>
      </c>
      <c r="C558" s="104">
        <v>10</v>
      </c>
      <c r="D558" s="2" t="s">
        <v>456</v>
      </c>
      <c r="E558" s="104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7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4">
        <v>22</v>
      </c>
      <c r="C559" s="104">
        <v>11</v>
      </c>
      <c r="D559" s="2" t="s">
        <v>456</v>
      </c>
      <c r="E559" s="104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7">
        <f>SUM(F559:K559)</f>
        <v>0</v>
      </c>
      <c r="M559" s="8"/>
    </row>
    <row r="560" spans="1:13" s="3" customFormat="1" ht="12" customHeight="1" thickTop="1" thickBot="1" x14ac:dyDescent="0.2">
      <c r="A560" s="129" t="s">
        <v>67</v>
      </c>
      <c r="B560" s="188">
        <v>22</v>
      </c>
      <c r="C560" s="188">
        <v>12</v>
      </c>
      <c r="D560" s="194" t="s">
        <v>456</v>
      </c>
      <c r="E560" s="188"/>
      <c r="F560" s="190">
        <f>SUM(F557:F559)</f>
        <v>0</v>
      </c>
      <c r="G560" s="190">
        <f t="shared" ref="G560:L560" si="47">SUM(G557:G559)</f>
        <v>0</v>
      </c>
      <c r="H560" s="190">
        <f t="shared" si="47"/>
        <v>0</v>
      </c>
      <c r="I560" s="190">
        <f t="shared" si="47"/>
        <v>0</v>
      </c>
      <c r="J560" s="190">
        <f t="shared" si="47"/>
        <v>0</v>
      </c>
      <c r="K560" s="190">
        <f t="shared" si="47"/>
        <v>0</v>
      </c>
      <c r="L560" s="190">
        <f t="shared" si="47"/>
        <v>0</v>
      </c>
      <c r="M560" s="8"/>
    </row>
    <row r="561" spans="1:13" s="3" customFormat="1" ht="12" customHeight="1" thickTop="1" x14ac:dyDescent="0.15">
      <c r="A561" s="97" t="s">
        <v>88</v>
      </c>
      <c r="B561" s="106">
        <v>22</v>
      </c>
      <c r="C561" s="106">
        <v>13</v>
      </c>
      <c r="D561" s="154" t="s">
        <v>456</v>
      </c>
      <c r="E561" s="106"/>
      <c r="F561" s="88">
        <f>F550+F555+F560</f>
        <v>0</v>
      </c>
      <c r="G561" s="88">
        <f t="shared" ref="G561:L561" si="48">G550+G555+G560</f>
        <v>0</v>
      </c>
      <c r="H561" s="88">
        <f t="shared" si="48"/>
        <v>0</v>
      </c>
      <c r="I561" s="88">
        <f t="shared" si="48"/>
        <v>0</v>
      </c>
      <c r="J561" s="88">
        <f t="shared" si="48"/>
        <v>0</v>
      </c>
      <c r="K561" s="88">
        <f t="shared" si="48"/>
        <v>0</v>
      </c>
      <c r="L561" s="88">
        <f t="shared" si="48"/>
        <v>0</v>
      </c>
      <c r="M561" s="8"/>
    </row>
    <row r="562" spans="1:13" s="3" customFormat="1" ht="12" customHeight="1" x14ac:dyDescent="0.15">
      <c r="A562" s="96"/>
      <c r="B562" s="74"/>
      <c r="C562" s="74"/>
      <c r="D562" s="74"/>
      <c r="E562" s="74"/>
      <c r="F562" s="86"/>
      <c r="G562" s="86"/>
      <c r="H562" s="86"/>
      <c r="I562" s="86"/>
      <c r="J562" s="86"/>
      <c r="K562" s="86"/>
      <c r="L562" s="86"/>
      <c r="M562" s="8"/>
    </row>
    <row r="563" spans="1:13" s="3" customFormat="1" ht="12" customHeight="1" x14ac:dyDescent="0.15">
      <c r="A563" s="96" t="s">
        <v>806</v>
      </c>
      <c r="B563" s="74"/>
      <c r="C563" s="74"/>
      <c r="D563" s="74"/>
      <c r="E563" s="74"/>
      <c r="F563" s="86"/>
      <c r="G563" s="86"/>
      <c r="H563" s="86"/>
      <c r="I563" s="86"/>
      <c r="J563" s="86"/>
      <c r="K563" s="86"/>
      <c r="L563" s="86"/>
      <c r="M563" s="8"/>
    </row>
    <row r="564" spans="1:13" s="3" customFormat="1" ht="12" customHeight="1" x14ac:dyDescent="0.15">
      <c r="A564" s="96" t="s">
        <v>89</v>
      </c>
      <c r="B564" s="74"/>
      <c r="C564" s="74"/>
      <c r="D564" s="74"/>
      <c r="E564" s="74" t="s">
        <v>95</v>
      </c>
      <c r="F564" s="100" t="s">
        <v>90</v>
      </c>
      <c r="G564" s="100" t="s">
        <v>91</v>
      </c>
      <c r="H564" s="100" t="s">
        <v>92</v>
      </c>
      <c r="I564" s="100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8" t="s">
        <v>703</v>
      </c>
      <c r="B565" s="74">
        <v>22</v>
      </c>
      <c r="C565" s="74">
        <v>14</v>
      </c>
      <c r="D565" s="2" t="s">
        <v>456</v>
      </c>
      <c r="E565" s="74">
        <v>561</v>
      </c>
      <c r="F565" s="18">
        <v>0</v>
      </c>
      <c r="G565" s="18">
        <v>0</v>
      </c>
      <c r="H565" s="18">
        <v>2149633.2799999998</v>
      </c>
      <c r="I565" s="86">
        <f>SUM(F565:H565)</f>
        <v>2149633.2799999998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8" t="s">
        <v>704</v>
      </c>
      <c r="B566" s="74">
        <v>22</v>
      </c>
      <c r="C566" s="74">
        <v>15</v>
      </c>
      <c r="D566" s="2" t="s">
        <v>456</v>
      </c>
      <c r="E566" s="74">
        <v>562</v>
      </c>
      <c r="F566" s="18">
        <v>0</v>
      </c>
      <c r="G566" s="18">
        <v>0</v>
      </c>
      <c r="H566" s="18">
        <v>0</v>
      </c>
      <c r="I566" s="86">
        <f t="shared" ref="I566:I577" si="49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8" t="s">
        <v>775</v>
      </c>
      <c r="B567" s="74">
        <v>22</v>
      </c>
      <c r="C567" s="74">
        <v>16</v>
      </c>
      <c r="D567" s="2" t="s">
        <v>456</v>
      </c>
      <c r="E567" s="74">
        <v>563</v>
      </c>
      <c r="F567" s="24" t="s">
        <v>312</v>
      </c>
      <c r="G567" s="24" t="s">
        <v>312</v>
      </c>
      <c r="H567" s="18">
        <v>0</v>
      </c>
      <c r="I567" s="86">
        <f t="shared" si="49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8" t="s">
        <v>708</v>
      </c>
      <c r="B568" s="74">
        <v>22</v>
      </c>
      <c r="C568" s="74">
        <v>17</v>
      </c>
      <c r="D568" s="2" t="s">
        <v>456</v>
      </c>
      <c r="E568" s="74">
        <v>564</v>
      </c>
      <c r="F568" s="18">
        <v>0</v>
      </c>
      <c r="G568" s="18">
        <v>0</v>
      </c>
      <c r="H568" s="18">
        <v>0</v>
      </c>
      <c r="I568" s="86">
        <f t="shared" si="49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8" t="s">
        <v>705</v>
      </c>
      <c r="B569" s="74">
        <v>22</v>
      </c>
      <c r="C569" s="74">
        <v>18</v>
      </c>
      <c r="D569" s="2" t="s">
        <v>456</v>
      </c>
      <c r="E569" s="74">
        <v>561</v>
      </c>
      <c r="F569" s="18">
        <f>62312.31+144197.12</f>
        <v>206509.43</v>
      </c>
      <c r="G569" s="18">
        <v>0</v>
      </c>
      <c r="H569" s="18"/>
      <c r="I569" s="86">
        <f t="shared" si="49"/>
        <v>206509.43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8" t="s">
        <v>706</v>
      </c>
      <c r="B570" s="74">
        <v>22</v>
      </c>
      <c r="C570" s="74">
        <v>19</v>
      </c>
      <c r="D570" s="2" t="s">
        <v>456</v>
      </c>
      <c r="E570" s="74">
        <v>562</v>
      </c>
      <c r="F570" s="18">
        <v>0</v>
      </c>
      <c r="G570" s="18">
        <v>0</v>
      </c>
      <c r="H570" s="18">
        <v>0</v>
      </c>
      <c r="I570" s="86">
        <f t="shared" si="49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4" t="s">
        <v>776</v>
      </c>
      <c r="B571" s="74">
        <v>22</v>
      </c>
      <c r="C571" s="74">
        <v>20</v>
      </c>
      <c r="D571" s="2" t="s">
        <v>456</v>
      </c>
      <c r="E571" s="74">
        <v>563</v>
      </c>
      <c r="F571" s="24" t="s">
        <v>312</v>
      </c>
      <c r="G571" s="24" t="s">
        <v>312</v>
      </c>
      <c r="H571" s="18">
        <v>0</v>
      </c>
      <c r="I571" s="86">
        <f t="shared" si="49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4" t="s">
        <v>707</v>
      </c>
      <c r="B572" s="74">
        <v>22</v>
      </c>
      <c r="C572" s="74">
        <v>21</v>
      </c>
      <c r="D572" s="2" t="s">
        <v>456</v>
      </c>
      <c r="E572" s="74">
        <v>564</v>
      </c>
      <c r="F572" s="18">
        <v>157143.96</v>
      </c>
      <c r="G572" s="18">
        <v>0</v>
      </c>
      <c r="H572" s="18">
        <v>97196.31</v>
      </c>
      <c r="I572" s="86">
        <f t="shared" si="49"/>
        <v>254340.27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4" t="s">
        <v>670</v>
      </c>
      <c r="B573" s="74">
        <v>22</v>
      </c>
      <c r="C573" s="74">
        <v>22</v>
      </c>
      <c r="D573" s="2" t="s">
        <v>456</v>
      </c>
      <c r="E573" s="74">
        <v>569</v>
      </c>
      <c r="F573" s="18">
        <v>0</v>
      </c>
      <c r="G573" s="18">
        <v>0</v>
      </c>
      <c r="H573" s="18">
        <v>0</v>
      </c>
      <c r="I573" s="86">
        <f t="shared" si="49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4">
        <v>22</v>
      </c>
      <c r="C574" s="74">
        <v>23</v>
      </c>
      <c r="D574" s="2" t="s">
        <v>456</v>
      </c>
      <c r="E574" s="74">
        <v>561</v>
      </c>
      <c r="F574" s="18">
        <v>0</v>
      </c>
      <c r="G574" s="18">
        <v>0</v>
      </c>
      <c r="H574" s="18">
        <v>0</v>
      </c>
      <c r="I574" s="86">
        <f t="shared" si="49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4">
        <v>22</v>
      </c>
      <c r="C575" s="74">
        <v>24</v>
      </c>
      <c r="D575" s="2" t="s">
        <v>456</v>
      </c>
      <c r="E575" s="74">
        <v>562</v>
      </c>
      <c r="F575" s="18">
        <v>0</v>
      </c>
      <c r="G575" s="18">
        <v>0</v>
      </c>
      <c r="H575" s="18">
        <v>0</v>
      </c>
      <c r="I575" s="86">
        <f t="shared" si="49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4">
        <v>22</v>
      </c>
      <c r="C576" s="74">
        <v>25</v>
      </c>
      <c r="D576" s="2" t="s">
        <v>456</v>
      </c>
      <c r="E576" s="74">
        <v>563</v>
      </c>
      <c r="F576" s="24" t="s">
        <v>312</v>
      </c>
      <c r="G576" s="24" t="s">
        <v>312</v>
      </c>
      <c r="H576" s="18">
        <v>0</v>
      </c>
      <c r="I576" s="86">
        <f t="shared" si="49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4">
        <v>22</v>
      </c>
      <c r="C577" s="74">
        <v>26</v>
      </c>
      <c r="D577" s="2" t="s">
        <v>456</v>
      </c>
      <c r="E577" s="74">
        <v>564</v>
      </c>
      <c r="F577" s="18">
        <v>0</v>
      </c>
      <c r="G577" s="18">
        <v>0</v>
      </c>
      <c r="H577" s="18">
        <v>0</v>
      </c>
      <c r="I577" s="86">
        <f t="shared" si="49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69" t="s">
        <v>778</v>
      </c>
      <c r="B578" s="104"/>
      <c r="C578" s="104"/>
      <c r="D578" s="104"/>
      <c r="E578" s="104"/>
      <c r="F578" s="102"/>
      <c r="G578" s="102"/>
      <c r="H578" s="102"/>
      <c r="I578" s="102"/>
      <c r="J578" s="102"/>
      <c r="K578" s="102"/>
      <c r="L578" s="102"/>
      <c r="M578" s="8"/>
    </row>
    <row r="579" spans="1:13" s="3" customFormat="1" ht="12" customHeight="1" x14ac:dyDescent="0.15">
      <c r="A579" s="145" t="s">
        <v>688</v>
      </c>
      <c r="B579" s="104"/>
      <c r="C579" s="104"/>
      <c r="D579" s="104"/>
      <c r="E579" s="104"/>
      <c r="F579" s="102"/>
      <c r="G579" s="102"/>
      <c r="H579" s="102"/>
      <c r="I579" s="102"/>
      <c r="J579" s="102"/>
      <c r="K579" s="102"/>
      <c r="L579" s="102"/>
      <c r="M579" s="8"/>
    </row>
    <row r="580" spans="1:13" s="3" customFormat="1" ht="12" customHeight="1" x14ac:dyDescent="0.15">
      <c r="A580" s="95" t="s">
        <v>89</v>
      </c>
      <c r="B580" s="104"/>
      <c r="C580" s="104"/>
      <c r="D580" s="104"/>
      <c r="E580" s="104"/>
      <c r="F580" s="102" t="s">
        <v>94</v>
      </c>
      <c r="G580" s="102" t="s">
        <v>95</v>
      </c>
      <c r="H580" s="102" t="s">
        <v>61</v>
      </c>
      <c r="I580" s="102" t="s">
        <v>96</v>
      </c>
      <c r="J580" s="102" t="s">
        <v>62</v>
      </c>
      <c r="K580" s="102" t="s">
        <v>5</v>
      </c>
      <c r="L580" s="102"/>
      <c r="M580" s="8"/>
    </row>
    <row r="581" spans="1:13" s="3" customFormat="1" ht="12" customHeight="1" x14ac:dyDescent="0.15">
      <c r="A581" s="3" t="s">
        <v>671</v>
      </c>
      <c r="B581" s="74">
        <v>23</v>
      </c>
      <c r="C581" s="74">
        <v>1</v>
      </c>
      <c r="D581" s="2" t="s">
        <v>456</v>
      </c>
      <c r="E581" s="74"/>
      <c r="F581" s="101">
        <v>2721</v>
      </c>
      <c r="G581" s="102" t="s">
        <v>97</v>
      </c>
      <c r="H581" s="18">
        <v>286427</v>
      </c>
      <c r="I581" s="18">
        <v>0</v>
      </c>
      <c r="J581" s="18">
        <v>144936.48000000001</v>
      </c>
      <c r="K581" s="103">
        <f t="shared" ref="K581:K587" si="50">SUM(H581:J581)</f>
        <v>431363.48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4">
        <v>23</v>
      </c>
      <c r="C582" s="74">
        <v>2</v>
      </c>
      <c r="D582" s="2" t="s">
        <v>456</v>
      </c>
      <c r="E582" s="74"/>
      <c r="F582" s="101">
        <v>2722</v>
      </c>
      <c r="G582" s="102" t="s">
        <v>97</v>
      </c>
      <c r="H582" s="18">
        <v>57380.480000000003</v>
      </c>
      <c r="I582" s="18">
        <v>0</v>
      </c>
      <c r="J582" s="18">
        <v>29131.63</v>
      </c>
      <c r="K582" s="103">
        <f t="shared" si="50"/>
        <v>86512.11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4">
        <v>23</v>
      </c>
      <c r="C583" s="74">
        <v>3</v>
      </c>
      <c r="D583" s="2" t="s">
        <v>456</v>
      </c>
      <c r="E583" s="74"/>
      <c r="F583" s="101">
        <v>2723</v>
      </c>
      <c r="G583" s="102" t="s">
        <v>97</v>
      </c>
      <c r="H583" s="18">
        <v>0</v>
      </c>
      <c r="I583" s="18">
        <v>0</v>
      </c>
      <c r="J583" s="18">
        <v>0</v>
      </c>
      <c r="K583" s="103">
        <f t="shared" si="50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4">
        <v>23</v>
      </c>
      <c r="C584" s="74">
        <v>4</v>
      </c>
      <c r="D584" s="2" t="s">
        <v>456</v>
      </c>
      <c r="E584" s="74"/>
      <c r="F584" s="101">
        <v>2724</v>
      </c>
      <c r="G584" s="102" t="s">
        <v>97</v>
      </c>
      <c r="H584" s="18">
        <v>0</v>
      </c>
      <c r="I584" s="18">
        <v>0</v>
      </c>
      <c r="J584" s="18">
        <v>0</v>
      </c>
      <c r="K584" s="103">
        <f t="shared" si="50"/>
        <v>0</v>
      </c>
      <c r="L584" s="24" t="s">
        <v>312</v>
      </c>
      <c r="M584" s="8"/>
    </row>
    <row r="585" spans="1:13" s="3" customFormat="1" ht="12" customHeight="1" x14ac:dyDescent="0.15">
      <c r="A585" s="167" t="s">
        <v>686</v>
      </c>
      <c r="B585" s="74">
        <v>23</v>
      </c>
      <c r="C585" s="74">
        <v>5</v>
      </c>
      <c r="D585" s="2" t="s">
        <v>456</v>
      </c>
      <c r="E585" s="74"/>
      <c r="F585" s="101">
        <v>2725</v>
      </c>
      <c r="G585" s="102" t="s">
        <v>97</v>
      </c>
      <c r="H585" s="18">
        <v>37.520000000000003</v>
      </c>
      <c r="I585" s="18">
        <v>0</v>
      </c>
      <c r="J585" s="18">
        <v>499.35</v>
      </c>
      <c r="K585" s="103">
        <f t="shared" si="50"/>
        <v>536.87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4">
        <v>23</v>
      </c>
      <c r="C586" s="74">
        <v>6</v>
      </c>
      <c r="D586" s="2" t="s">
        <v>456</v>
      </c>
      <c r="E586" s="74"/>
      <c r="F586" s="101">
        <v>2726</v>
      </c>
      <c r="G586" s="102" t="s">
        <v>97</v>
      </c>
      <c r="H586" s="18">
        <v>0</v>
      </c>
      <c r="I586" s="18">
        <v>0</v>
      </c>
      <c r="J586" s="18">
        <v>0</v>
      </c>
      <c r="K586" s="103">
        <f t="shared" si="50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4">
        <v>23</v>
      </c>
      <c r="C587" s="74">
        <v>7</v>
      </c>
      <c r="D587" s="2" t="s">
        <v>456</v>
      </c>
      <c r="E587" s="74"/>
      <c r="F587" s="101">
        <v>2729</v>
      </c>
      <c r="G587" s="102" t="s">
        <v>97</v>
      </c>
      <c r="H587" s="18">
        <v>0</v>
      </c>
      <c r="I587" s="18">
        <v>0</v>
      </c>
      <c r="J587" s="18">
        <v>0</v>
      </c>
      <c r="K587" s="103">
        <f t="shared" si="50"/>
        <v>0</v>
      </c>
      <c r="L587" s="24" t="s">
        <v>312</v>
      </c>
      <c r="M587" s="8"/>
    </row>
    <row r="588" spans="1:13" s="3" customFormat="1" ht="12" customHeight="1" thickTop="1" x14ac:dyDescent="0.15">
      <c r="A588" s="97" t="s">
        <v>364</v>
      </c>
      <c r="B588" s="44">
        <v>23</v>
      </c>
      <c r="C588" s="44">
        <v>8</v>
      </c>
      <c r="D588" s="39" t="s">
        <v>456</v>
      </c>
      <c r="E588" s="44"/>
      <c r="F588" s="146">
        <v>2700</v>
      </c>
      <c r="G588" s="147" t="s">
        <v>97</v>
      </c>
      <c r="H588" s="107">
        <f>SUM(H581:H587)</f>
        <v>343845</v>
      </c>
      <c r="I588" s="107">
        <f>SUM(I581:I587)</f>
        <v>0</v>
      </c>
      <c r="J588" s="107">
        <f>SUM(J581:J587)</f>
        <v>174567.46000000002</v>
      </c>
      <c r="K588" s="107">
        <f>SUM(K581:K587)</f>
        <v>518412.45999999996</v>
      </c>
      <c r="L588" s="24" t="s">
        <v>312</v>
      </c>
      <c r="M588" s="8"/>
    </row>
    <row r="589" spans="1:13" s="3" customFormat="1" ht="12" customHeight="1" x14ac:dyDescent="0.15">
      <c r="A589" s="22"/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</row>
    <row r="590" spans="1:13" s="3" customFormat="1" ht="12" customHeight="1" x14ac:dyDescent="0.15">
      <c r="A590" s="95" t="s">
        <v>98</v>
      </c>
      <c r="B590" s="104"/>
      <c r="C590" s="104"/>
      <c r="D590" s="104"/>
      <c r="E590" s="104"/>
      <c r="F590" s="102"/>
      <c r="G590" s="102"/>
      <c r="H590" s="102"/>
      <c r="I590" s="102"/>
      <c r="J590" s="102"/>
      <c r="K590" s="102"/>
      <c r="L590" s="102"/>
      <c r="M590" s="8"/>
    </row>
    <row r="591" spans="1:13" s="3" customFormat="1" ht="12" customHeight="1" x14ac:dyDescent="0.15">
      <c r="A591" s="95" t="s">
        <v>89</v>
      </c>
      <c r="B591" s="104"/>
      <c r="C591" s="104"/>
      <c r="D591" s="104"/>
      <c r="E591" s="104"/>
      <c r="F591" s="102" t="s">
        <v>94</v>
      </c>
      <c r="G591" s="102" t="s">
        <v>95</v>
      </c>
      <c r="H591" s="102" t="s">
        <v>61</v>
      </c>
      <c r="I591" s="102" t="s">
        <v>96</v>
      </c>
      <c r="J591" s="102" t="s">
        <v>62</v>
      </c>
      <c r="K591" s="102" t="s">
        <v>5</v>
      </c>
      <c r="L591" s="102"/>
      <c r="M591" s="8"/>
    </row>
    <row r="592" spans="1:13" s="3" customFormat="1" ht="12" customHeight="1" x14ac:dyDescent="0.15">
      <c r="A592" s="22" t="s">
        <v>676</v>
      </c>
      <c r="B592" s="104">
        <v>23</v>
      </c>
      <c r="C592" s="104">
        <v>9</v>
      </c>
      <c r="D592" s="2" t="s">
        <v>456</v>
      </c>
      <c r="E592" s="104"/>
      <c r="F592" s="102" t="s">
        <v>500</v>
      </c>
      <c r="G592" s="101">
        <v>710</v>
      </c>
      <c r="H592" s="18">
        <v>0</v>
      </c>
      <c r="I592" s="18">
        <v>0</v>
      </c>
      <c r="J592" s="18">
        <v>0</v>
      </c>
      <c r="K592" s="103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4">
        <v>23</v>
      </c>
      <c r="C593" s="104">
        <v>10</v>
      </c>
      <c r="D593" s="2" t="s">
        <v>456</v>
      </c>
      <c r="E593" s="104"/>
      <c r="F593" s="102" t="s">
        <v>500</v>
      </c>
      <c r="G593" s="101">
        <v>720</v>
      </c>
      <c r="H593" s="18">
        <v>0</v>
      </c>
      <c r="I593" s="18">
        <v>0</v>
      </c>
      <c r="J593" s="18">
        <v>0</v>
      </c>
      <c r="K593" s="103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4">
        <v>23</v>
      </c>
      <c r="C594" s="104">
        <v>11</v>
      </c>
      <c r="D594" s="2" t="s">
        <v>456</v>
      </c>
      <c r="E594" s="104"/>
      <c r="F594" s="102" t="s">
        <v>500</v>
      </c>
      <c r="G594" s="101">
        <v>730</v>
      </c>
      <c r="H594" s="18">
        <f>J203+J239+J282</f>
        <v>36230.61</v>
      </c>
      <c r="I594" s="18">
        <v>0</v>
      </c>
      <c r="J594" s="18">
        <v>0</v>
      </c>
      <c r="K594" s="103">
        <f>SUM(H594:J594)</f>
        <v>36230.61</v>
      </c>
      <c r="L594" s="24" t="s">
        <v>312</v>
      </c>
      <c r="M594" s="8"/>
    </row>
    <row r="595" spans="1:13" s="3" customFormat="1" ht="12" customHeight="1" thickTop="1" x14ac:dyDescent="0.15">
      <c r="A595" s="97" t="s">
        <v>364</v>
      </c>
      <c r="B595" s="44">
        <v>23</v>
      </c>
      <c r="C595" s="44">
        <v>12</v>
      </c>
      <c r="D595" s="39" t="s">
        <v>456</v>
      </c>
      <c r="E595" s="44"/>
      <c r="F595" s="147" t="s">
        <v>500</v>
      </c>
      <c r="G595" s="146">
        <v>700</v>
      </c>
      <c r="H595" s="107">
        <f>SUM(H592:H594)</f>
        <v>36230.61</v>
      </c>
      <c r="I595" s="107">
        <f>SUM(I592:I594)</f>
        <v>0</v>
      </c>
      <c r="J595" s="107">
        <f>SUM(J592:J594)</f>
        <v>0</v>
      </c>
      <c r="K595" s="107">
        <f>SUM(K592:K594)</f>
        <v>36230.61</v>
      </c>
      <c r="L595" s="24" t="s">
        <v>312</v>
      </c>
      <c r="M595" s="8"/>
    </row>
    <row r="596" spans="1:13" s="3" customFormat="1" ht="12" customHeight="1" x14ac:dyDescent="0.15">
      <c r="A596" s="22"/>
      <c r="B596" s="104"/>
      <c r="C596" s="104"/>
      <c r="D596" s="104"/>
      <c r="E596" s="104"/>
      <c r="F596" s="102"/>
      <c r="G596" s="102"/>
      <c r="H596" s="102"/>
      <c r="I596" s="102"/>
      <c r="J596" s="102"/>
      <c r="K596" s="102"/>
      <c r="L596" s="87"/>
      <c r="M596" s="8"/>
    </row>
    <row r="597" spans="1:13" s="3" customFormat="1" ht="12" customHeight="1" x14ac:dyDescent="0.15">
      <c r="A597" s="95"/>
      <c r="B597" s="104"/>
      <c r="C597" s="104"/>
      <c r="D597" s="104"/>
      <c r="E597" s="104"/>
      <c r="F597" s="102"/>
      <c r="G597" s="102"/>
      <c r="H597" s="102"/>
      <c r="I597" s="102"/>
      <c r="J597" s="102"/>
      <c r="K597" s="102"/>
      <c r="L597" s="87"/>
      <c r="M597" s="8"/>
    </row>
    <row r="598" spans="1:13" s="3" customFormat="1" ht="12" customHeight="1" x14ac:dyDescent="0.15">
      <c r="A598" s="95" t="s">
        <v>611</v>
      </c>
      <c r="B598" s="104"/>
      <c r="C598" s="104"/>
      <c r="D598" s="104"/>
      <c r="E598" s="104"/>
      <c r="F598" s="102"/>
      <c r="G598" s="102"/>
      <c r="H598" s="102"/>
      <c r="I598" s="102"/>
      <c r="J598" s="102"/>
      <c r="K598" s="102"/>
      <c r="L598" s="87"/>
      <c r="M598" s="8"/>
    </row>
    <row r="599" spans="1:13" s="3" customFormat="1" ht="12" customHeight="1" x14ac:dyDescent="0.15">
      <c r="B599" s="104"/>
      <c r="C599" s="104"/>
      <c r="D599" s="104"/>
      <c r="E599" s="104"/>
      <c r="F599" s="173" t="s">
        <v>724</v>
      </c>
      <c r="G599" s="173" t="s">
        <v>725</v>
      </c>
      <c r="H599" s="173" t="s">
        <v>726</v>
      </c>
      <c r="I599" s="173" t="s">
        <v>727</v>
      </c>
      <c r="J599" s="173" t="s">
        <v>728</v>
      </c>
      <c r="K599" s="173" t="s">
        <v>729</v>
      </c>
      <c r="L599" s="87"/>
      <c r="M599" s="8"/>
    </row>
    <row r="600" spans="1:13" s="3" customFormat="1" ht="12" customHeight="1" x14ac:dyDescent="0.15">
      <c r="A600" s="95" t="s">
        <v>89</v>
      </c>
      <c r="B600" s="104"/>
      <c r="C600" s="104"/>
      <c r="D600" s="104"/>
      <c r="E600" s="104"/>
      <c r="F600" s="102" t="s">
        <v>54</v>
      </c>
      <c r="G600" s="102" t="s">
        <v>55</v>
      </c>
      <c r="H600" s="102" t="s">
        <v>56</v>
      </c>
      <c r="I600" s="102" t="s">
        <v>57</v>
      </c>
      <c r="J600" s="102" t="s">
        <v>58</v>
      </c>
      <c r="K600" s="102" t="s">
        <v>59</v>
      </c>
      <c r="L600" s="105" t="s">
        <v>5</v>
      </c>
      <c r="M600" s="8"/>
    </row>
    <row r="601" spans="1:13" s="3" customFormat="1" ht="12" customHeight="1" x14ac:dyDescent="0.15">
      <c r="A601" s="22" t="s">
        <v>667</v>
      </c>
      <c r="B601" s="74">
        <v>23</v>
      </c>
      <c r="C601" s="74">
        <v>13</v>
      </c>
      <c r="D601" s="2" t="s">
        <v>456</v>
      </c>
      <c r="E601" s="74"/>
      <c r="F601" s="18">
        <v>11215.3</v>
      </c>
      <c r="G601" s="18">
        <f>ROUND(F601*0.0765,2)+ROUND(F601*0.1007,2)</f>
        <v>1987.3500000000001</v>
      </c>
      <c r="H601" s="18">
        <v>0</v>
      </c>
      <c r="I601" s="18">
        <v>0</v>
      </c>
      <c r="J601" s="18">
        <v>0</v>
      </c>
      <c r="K601" s="18">
        <v>0</v>
      </c>
      <c r="L601" s="87">
        <f>SUM(F601:K601)</f>
        <v>13202.65</v>
      </c>
      <c r="M601" s="8"/>
    </row>
    <row r="602" spans="1:13" s="3" customFormat="1" ht="12" customHeight="1" x14ac:dyDescent="0.15">
      <c r="A602" s="22" t="s">
        <v>668</v>
      </c>
      <c r="B602" s="74">
        <v>23</v>
      </c>
      <c r="C602" s="74">
        <v>14</v>
      </c>
      <c r="D602" s="2" t="s">
        <v>456</v>
      </c>
      <c r="E602" s="74"/>
      <c r="F602" s="18">
        <v>0</v>
      </c>
      <c r="G602" s="18">
        <v>0</v>
      </c>
      <c r="H602" s="18">
        <v>0</v>
      </c>
      <c r="I602" s="18">
        <v>0</v>
      </c>
      <c r="J602" s="18">
        <v>0</v>
      </c>
      <c r="K602" s="18">
        <v>0</v>
      </c>
      <c r="L602" s="87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4">
        <v>23</v>
      </c>
      <c r="C603" s="74">
        <v>15</v>
      </c>
      <c r="D603" s="2" t="s">
        <v>456</v>
      </c>
      <c r="E603" s="74"/>
      <c r="F603" s="18">
        <v>0</v>
      </c>
      <c r="G603" s="18">
        <v>0</v>
      </c>
      <c r="H603" s="18">
        <v>0</v>
      </c>
      <c r="I603" s="18">
        <v>0</v>
      </c>
      <c r="J603" s="18">
        <v>0</v>
      </c>
      <c r="K603" s="18">
        <v>0</v>
      </c>
      <c r="L603" s="87">
        <f>SUM(F603:K603)</f>
        <v>0</v>
      </c>
      <c r="M603" s="8"/>
    </row>
    <row r="604" spans="1:13" s="3" customFormat="1" ht="12" customHeight="1" thickTop="1" x14ac:dyDescent="0.15">
      <c r="A604" s="97" t="s">
        <v>364</v>
      </c>
      <c r="B604" s="106">
        <v>23</v>
      </c>
      <c r="C604" s="106">
        <v>16</v>
      </c>
      <c r="D604" s="39" t="s">
        <v>456</v>
      </c>
      <c r="E604" s="106"/>
      <c r="F604" s="107">
        <f t="shared" ref="F604:L604" si="51">SUM(F601:F603)</f>
        <v>11215.3</v>
      </c>
      <c r="G604" s="107">
        <f t="shared" si="51"/>
        <v>1987.3500000000001</v>
      </c>
      <c r="H604" s="107">
        <f t="shared" si="51"/>
        <v>0</v>
      </c>
      <c r="I604" s="107">
        <f t="shared" si="51"/>
        <v>0</v>
      </c>
      <c r="J604" s="107">
        <f t="shared" si="51"/>
        <v>0</v>
      </c>
      <c r="K604" s="107">
        <f t="shared" si="51"/>
        <v>0</v>
      </c>
      <c r="L604" s="88">
        <f t="shared" si="51"/>
        <v>13202.65</v>
      </c>
      <c r="M604" s="8"/>
    </row>
    <row r="605" spans="1:13" s="3" customFormat="1" ht="12" customHeight="1" x14ac:dyDescent="0.15">
      <c r="A605" s="96"/>
      <c r="B605" s="104"/>
      <c r="C605" s="104"/>
      <c r="D605" s="104"/>
      <c r="E605" s="104"/>
      <c r="F605" s="108"/>
      <c r="G605" s="108"/>
      <c r="H605" s="108"/>
      <c r="I605" s="108"/>
      <c r="J605" s="108"/>
      <c r="K605" s="108"/>
      <c r="L605" s="108"/>
      <c r="M605" s="8"/>
    </row>
    <row r="606" spans="1:13" s="3" customFormat="1" ht="12" customHeight="1" x14ac:dyDescent="0.15">
      <c r="A606" s="96"/>
      <c r="B606" s="104"/>
      <c r="C606" s="104"/>
      <c r="D606" s="104"/>
      <c r="E606" s="104"/>
      <c r="F606" s="148" t="s">
        <v>53</v>
      </c>
      <c r="G606" s="149"/>
      <c r="H606" s="149"/>
      <c r="I606" s="148" t="s">
        <v>53</v>
      </c>
      <c r="J606" s="108"/>
      <c r="K606" s="108"/>
      <c r="L606" s="108"/>
      <c r="M606" s="8"/>
    </row>
    <row r="607" spans="1:13" s="3" customFormat="1" ht="12" customHeight="1" x14ac:dyDescent="0.15">
      <c r="A607" s="96" t="s">
        <v>99</v>
      </c>
      <c r="B607" s="104"/>
      <c r="C607" s="104"/>
      <c r="D607" s="104"/>
      <c r="E607" s="104"/>
      <c r="F607" s="120" t="s">
        <v>717</v>
      </c>
      <c r="G607" s="108">
        <f>SUM(F19)</f>
        <v>1443161.45</v>
      </c>
      <c r="H607" s="108">
        <f>SUM(F44)</f>
        <v>1443161.45</v>
      </c>
      <c r="I607" s="120" t="s">
        <v>100</v>
      </c>
      <c r="J607" s="108">
        <f>G607-H607</f>
        <v>0</v>
      </c>
      <c r="K607" s="108"/>
      <c r="L607" s="108"/>
      <c r="M607" s="8"/>
    </row>
    <row r="608" spans="1:13" s="3" customFormat="1" ht="12" customHeight="1" x14ac:dyDescent="0.15">
      <c r="A608" s="96" t="s">
        <v>101</v>
      </c>
      <c r="B608" s="104"/>
      <c r="C608" s="104"/>
      <c r="D608" s="104"/>
      <c r="E608" s="104"/>
      <c r="F608" s="120" t="s">
        <v>718</v>
      </c>
      <c r="G608" s="108">
        <f>SUM(G19)</f>
        <v>47495.06</v>
      </c>
      <c r="H608" s="108">
        <f>SUM(G44)</f>
        <v>47495.06</v>
      </c>
      <c r="I608" s="120" t="s">
        <v>102</v>
      </c>
      <c r="J608" s="108">
        <f>G608-H608</f>
        <v>0</v>
      </c>
      <c r="K608" s="108"/>
      <c r="L608" s="108"/>
      <c r="M608" s="8"/>
    </row>
    <row r="609" spans="1:13" s="3" customFormat="1" ht="12" customHeight="1" x14ac:dyDescent="0.15">
      <c r="A609" s="96"/>
      <c r="B609" s="104"/>
      <c r="C609" s="104"/>
      <c r="D609" s="104"/>
      <c r="E609" s="104"/>
      <c r="F609" s="120" t="s">
        <v>719</v>
      </c>
      <c r="G609" s="108">
        <f>SUM(H19)</f>
        <v>56953.4</v>
      </c>
      <c r="H609" s="108">
        <f>SUM(H44)</f>
        <v>56953.4</v>
      </c>
      <c r="I609" s="120" t="s">
        <v>103</v>
      </c>
      <c r="J609" s="108">
        <f>G609-H609</f>
        <v>0</v>
      </c>
      <c r="K609" s="108"/>
      <c r="L609" s="108"/>
      <c r="M609" s="8"/>
    </row>
    <row r="610" spans="1:13" s="3" customFormat="1" ht="12" customHeight="1" x14ac:dyDescent="0.15">
      <c r="A610" s="96"/>
      <c r="B610" s="104"/>
      <c r="C610" s="104"/>
      <c r="D610" s="104"/>
      <c r="E610" s="104"/>
      <c r="F610" s="120" t="s">
        <v>720</v>
      </c>
      <c r="G610" s="108">
        <f>SUM(I19)</f>
        <v>0</v>
      </c>
      <c r="H610" s="108">
        <f>SUM(I44)</f>
        <v>0</v>
      </c>
      <c r="I610" s="120" t="s">
        <v>104</v>
      </c>
      <c r="J610" s="108">
        <f>G610-H610</f>
        <v>0</v>
      </c>
      <c r="K610" s="108"/>
      <c r="L610" s="108"/>
      <c r="M610" s="8"/>
    </row>
    <row r="611" spans="1:13" s="3" customFormat="1" ht="12" customHeight="1" x14ac:dyDescent="0.15">
      <c r="A611" s="96"/>
      <c r="B611" s="104"/>
      <c r="C611" s="104"/>
      <c r="D611" s="104"/>
      <c r="E611" s="104"/>
      <c r="F611" s="120" t="s">
        <v>721</v>
      </c>
      <c r="G611" s="108">
        <f>SUM(J19)</f>
        <v>128790.27</v>
      </c>
      <c r="H611" s="108">
        <f>SUM(J44)</f>
        <v>128790.27</v>
      </c>
      <c r="I611" s="120" t="s">
        <v>105</v>
      </c>
      <c r="J611" s="108">
        <f>G611-H611</f>
        <v>0</v>
      </c>
      <c r="K611" s="108"/>
      <c r="L611" s="108"/>
      <c r="M611" s="8"/>
    </row>
    <row r="612" spans="1:13" s="3" customFormat="1" ht="12" customHeight="1" x14ac:dyDescent="0.15">
      <c r="A612" s="96"/>
      <c r="B612" s="104"/>
      <c r="C612" s="104"/>
      <c r="D612" s="104"/>
      <c r="E612" s="104"/>
      <c r="F612" s="120" t="s">
        <v>722</v>
      </c>
      <c r="G612" s="108">
        <f>F43</f>
        <v>519472.69</v>
      </c>
      <c r="H612" s="108">
        <f>F466</f>
        <v>519472.68999999948</v>
      </c>
      <c r="I612" s="120" t="s">
        <v>106</v>
      </c>
      <c r="J612" s="108">
        <f t="shared" ref="J612:J645" si="52">G612-H612</f>
        <v>5.2386894822120667E-10</v>
      </c>
      <c r="K612" s="108"/>
      <c r="L612" s="108"/>
      <c r="M612" s="8"/>
    </row>
    <row r="613" spans="1:13" s="3" customFormat="1" ht="12" customHeight="1" x14ac:dyDescent="0.15">
      <c r="A613" s="96"/>
      <c r="B613" s="104"/>
      <c r="C613" s="118"/>
      <c r="D613" s="118"/>
      <c r="E613" s="118"/>
      <c r="F613" s="118" t="s">
        <v>107</v>
      </c>
      <c r="G613" s="108">
        <f>G43</f>
        <v>0</v>
      </c>
      <c r="H613" s="108">
        <f>G466</f>
        <v>0</v>
      </c>
      <c r="I613" s="120" t="s">
        <v>108</v>
      </c>
      <c r="J613" s="108">
        <f t="shared" si="52"/>
        <v>0</v>
      </c>
      <c r="K613" s="108"/>
      <c r="L613" s="108"/>
      <c r="M613" s="8"/>
    </row>
    <row r="614" spans="1:13" s="3" customFormat="1" ht="12" customHeight="1" x14ac:dyDescent="0.15">
      <c r="A614" s="96"/>
      <c r="B614" s="104"/>
      <c r="C614" s="104"/>
      <c r="D614" s="104"/>
      <c r="E614" s="104"/>
      <c r="F614" s="119" t="s">
        <v>109</v>
      </c>
      <c r="G614" s="108">
        <f>H43</f>
        <v>0</v>
      </c>
      <c r="H614" s="108">
        <f>H466</f>
        <v>0</v>
      </c>
      <c r="I614" s="120" t="s">
        <v>110</v>
      </c>
      <c r="J614" s="108">
        <f t="shared" si="52"/>
        <v>0</v>
      </c>
      <c r="K614" s="108"/>
      <c r="L614" s="108"/>
      <c r="M614" s="8"/>
    </row>
    <row r="615" spans="1:13" s="3" customFormat="1" ht="12" customHeight="1" x14ac:dyDescent="0.15">
      <c r="A615" s="96"/>
      <c r="B615" s="104"/>
      <c r="C615" s="104"/>
      <c r="D615" s="104"/>
      <c r="E615" s="104"/>
      <c r="F615" s="119" t="s">
        <v>111</v>
      </c>
      <c r="G615" s="108">
        <f>I43</f>
        <v>0</v>
      </c>
      <c r="H615" s="108">
        <f>I466</f>
        <v>0</v>
      </c>
      <c r="I615" s="120" t="s">
        <v>112</v>
      </c>
      <c r="J615" s="108">
        <f t="shared" si="52"/>
        <v>0</v>
      </c>
      <c r="K615" s="108"/>
      <c r="L615" s="108"/>
      <c r="M615" s="8"/>
    </row>
    <row r="616" spans="1:13" s="3" customFormat="1" ht="12" customHeight="1" x14ac:dyDescent="0.15">
      <c r="A616" s="22"/>
      <c r="B616" s="104"/>
      <c r="C616" s="104"/>
      <c r="D616" s="104"/>
      <c r="E616" s="104"/>
      <c r="F616" s="119" t="s">
        <v>113</v>
      </c>
      <c r="G616" s="108">
        <f>J43</f>
        <v>128790.27</v>
      </c>
      <c r="H616" s="108">
        <f>J466</f>
        <v>128790.26999999999</v>
      </c>
      <c r="I616" s="139" t="s">
        <v>114</v>
      </c>
      <c r="J616" s="108">
        <f t="shared" si="52"/>
        <v>0</v>
      </c>
      <c r="K616" s="84"/>
      <c r="L616" s="87"/>
      <c r="M616" s="8"/>
    </row>
    <row r="617" spans="1:13" s="3" customFormat="1" ht="12" customHeight="1" x14ac:dyDescent="0.15">
      <c r="A617" s="22"/>
      <c r="B617" s="104"/>
      <c r="C617" s="104"/>
      <c r="D617" s="104"/>
      <c r="E617" s="104"/>
      <c r="F617" s="119" t="s">
        <v>692</v>
      </c>
      <c r="G617" s="108">
        <f>F185</f>
        <v>8467626.4499999993</v>
      </c>
      <c r="H617" s="103">
        <f>SUM(F458)</f>
        <v>8467626.4499999993</v>
      </c>
      <c r="I617" s="139" t="s">
        <v>115</v>
      </c>
      <c r="J617" s="108">
        <f>G617-H617</f>
        <v>0</v>
      </c>
      <c r="K617" s="84"/>
      <c r="L617" s="87"/>
      <c r="M617" s="8"/>
    </row>
    <row r="618" spans="1:13" s="3" customFormat="1" ht="12" customHeight="1" x14ac:dyDescent="0.15">
      <c r="A618" s="22"/>
      <c r="B618" s="104"/>
      <c r="C618" s="104"/>
      <c r="D618" s="104"/>
      <c r="E618" s="104"/>
      <c r="F618" s="119" t="s">
        <v>693</v>
      </c>
      <c r="G618" s="108">
        <f>G185</f>
        <v>233435.39</v>
      </c>
      <c r="H618" s="103">
        <f>SUM(G458)</f>
        <v>233435.39</v>
      </c>
      <c r="I618" s="139" t="s">
        <v>116</v>
      </c>
      <c r="J618" s="108">
        <f>G618-H618</f>
        <v>0</v>
      </c>
      <c r="K618" s="84"/>
      <c r="L618" s="87"/>
      <c r="M618" s="8"/>
    </row>
    <row r="619" spans="1:13" s="3" customFormat="1" ht="12" customHeight="1" x14ac:dyDescent="0.15">
      <c r="A619" s="22"/>
      <c r="B619" s="104"/>
      <c r="C619" s="104"/>
      <c r="D619" s="104"/>
      <c r="E619" s="104"/>
      <c r="F619" s="119" t="s">
        <v>694</v>
      </c>
      <c r="G619" s="108">
        <f>H185</f>
        <v>482984.14</v>
      </c>
      <c r="H619" s="103">
        <f>SUM(H458)</f>
        <v>482984.14</v>
      </c>
      <c r="I619" s="139" t="s">
        <v>117</v>
      </c>
      <c r="J619" s="108">
        <f>G619-H619</f>
        <v>0</v>
      </c>
      <c r="K619" s="84"/>
      <c r="L619" s="87"/>
      <c r="M619" s="8"/>
    </row>
    <row r="620" spans="1:13" s="3" customFormat="1" ht="12" customHeight="1" x14ac:dyDescent="0.15">
      <c r="A620" s="22"/>
      <c r="B620" s="104"/>
      <c r="C620" s="104"/>
      <c r="D620" s="104"/>
      <c r="E620" s="104"/>
      <c r="F620" s="119" t="s">
        <v>695</v>
      </c>
      <c r="G620" s="108">
        <f>I185</f>
        <v>0</v>
      </c>
      <c r="H620" s="103">
        <f>SUM(I458)</f>
        <v>0</v>
      </c>
      <c r="I620" s="139" t="s">
        <v>118</v>
      </c>
      <c r="J620" s="108">
        <f>G620-H620</f>
        <v>0</v>
      </c>
      <c r="K620" s="84"/>
      <c r="L620" s="87"/>
      <c r="M620" s="8"/>
    </row>
    <row r="621" spans="1:13" s="3" customFormat="1" ht="12" customHeight="1" x14ac:dyDescent="0.15">
      <c r="A621" s="22"/>
      <c r="B621" s="104"/>
      <c r="C621" s="104"/>
      <c r="D621" s="104"/>
      <c r="E621" s="104"/>
      <c r="F621" s="119" t="s">
        <v>696</v>
      </c>
      <c r="G621" s="108">
        <f>J185</f>
        <v>53365.48</v>
      </c>
      <c r="H621" s="103">
        <f>SUM(J458)</f>
        <v>53365.48</v>
      </c>
      <c r="I621" s="139" t="s">
        <v>119</v>
      </c>
      <c r="J621" s="108">
        <f>G621-H621</f>
        <v>0</v>
      </c>
      <c r="K621" s="84"/>
      <c r="L621" s="87"/>
      <c r="M621" s="8"/>
    </row>
    <row r="622" spans="1:13" s="3" customFormat="1" ht="12" customHeight="1" x14ac:dyDescent="0.15">
      <c r="A622" s="22"/>
      <c r="B622" s="104"/>
      <c r="C622" s="104"/>
      <c r="D622" s="104"/>
      <c r="E622" s="104"/>
      <c r="F622" s="119" t="s">
        <v>418</v>
      </c>
      <c r="G622" s="108">
        <f>SUM(L263)</f>
        <v>8467185.5700000003</v>
      </c>
      <c r="H622" s="103">
        <f>SUM(F462)</f>
        <v>8467185.5700000003</v>
      </c>
      <c r="I622" s="139" t="s">
        <v>120</v>
      </c>
      <c r="J622" s="108">
        <f t="shared" si="52"/>
        <v>0</v>
      </c>
      <c r="K622" s="84"/>
      <c r="L622" s="87"/>
      <c r="M622" s="8"/>
    </row>
    <row r="623" spans="1:13" s="3" customFormat="1" ht="12" customHeight="1" x14ac:dyDescent="0.15">
      <c r="A623" s="22"/>
      <c r="B623" s="104"/>
      <c r="C623" s="104"/>
      <c r="D623" s="104"/>
      <c r="E623" s="104"/>
      <c r="F623" s="119" t="s">
        <v>419</v>
      </c>
      <c r="G623" s="108">
        <f>SUM(L344)</f>
        <v>482984.14</v>
      </c>
      <c r="H623" s="103">
        <f>SUM(H462)</f>
        <v>482984.14</v>
      </c>
      <c r="I623" s="139" t="s">
        <v>121</v>
      </c>
      <c r="J623" s="108">
        <f>G623-H623</f>
        <v>0</v>
      </c>
      <c r="K623" s="84"/>
      <c r="L623" s="87"/>
      <c r="M623" s="8"/>
    </row>
    <row r="624" spans="1:13" s="3" customFormat="1" ht="12" customHeight="1" x14ac:dyDescent="0.15">
      <c r="A624" s="22"/>
      <c r="B624" s="104"/>
      <c r="C624" s="104"/>
      <c r="D624" s="104"/>
      <c r="E624" s="104"/>
      <c r="F624" s="141" t="s">
        <v>270</v>
      </c>
      <c r="G624" s="108">
        <f>I354</f>
        <v>100002.3</v>
      </c>
      <c r="H624" s="103">
        <f>I361</f>
        <v>100002.3</v>
      </c>
      <c r="I624" s="142" t="s">
        <v>271</v>
      </c>
      <c r="J624" s="108">
        <f>G624-H624</f>
        <v>0</v>
      </c>
      <c r="K624" s="84"/>
      <c r="L624" s="87"/>
      <c r="M624" s="8"/>
    </row>
    <row r="625" spans="1:13" s="3" customFormat="1" ht="12" customHeight="1" x14ac:dyDescent="0.15">
      <c r="A625" s="22"/>
      <c r="B625" s="104"/>
      <c r="C625" s="104"/>
      <c r="D625" s="104"/>
      <c r="E625" s="104"/>
      <c r="F625" s="119" t="s">
        <v>122</v>
      </c>
      <c r="G625" s="108">
        <f>SUM(L354)</f>
        <v>233435.38999999998</v>
      </c>
      <c r="H625" s="103">
        <f>SUM(G462)</f>
        <v>233435.38999999998</v>
      </c>
      <c r="I625" s="139" t="s">
        <v>123</v>
      </c>
      <c r="J625" s="108">
        <f t="shared" si="52"/>
        <v>0</v>
      </c>
      <c r="K625" s="84"/>
      <c r="L625" s="87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124</v>
      </c>
      <c r="G626" s="108">
        <f>SUM(L374)</f>
        <v>0</v>
      </c>
      <c r="H626" s="103">
        <f>SUM(I462)</f>
        <v>0</v>
      </c>
      <c r="I626" s="139" t="s">
        <v>125</v>
      </c>
      <c r="J626" s="108">
        <f t="shared" si="52"/>
        <v>0</v>
      </c>
      <c r="K626" s="84"/>
      <c r="L626" s="87"/>
      <c r="M626" s="8"/>
    </row>
    <row r="627" spans="1:13" s="165" customFormat="1" ht="12" customHeight="1" x14ac:dyDescent="0.15">
      <c r="A627" s="157"/>
      <c r="B627" s="158"/>
      <c r="C627" s="158"/>
      <c r="D627" s="158"/>
      <c r="E627" s="158"/>
      <c r="F627" s="159" t="s">
        <v>501</v>
      </c>
      <c r="G627" s="149">
        <f>SUM(L400)</f>
        <v>53365.479999999996</v>
      </c>
      <c r="H627" s="160">
        <f>SUM(J458)</f>
        <v>53365.48</v>
      </c>
      <c r="I627" s="161" t="s">
        <v>119</v>
      </c>
      <c r="J627" s="149">
        <f t="shared" si="52"/>
        <v>0</v>
      </c>
      <c r="K627" s="162"/>
      <c r="L627" s="163"/>
      <c r="M627" s="164"/>
    </row>
    <row r="628" spans="1:13" s="165" customFormat="1" ht="12" customHeight="1" x14ac:dyDescent="0.15">
      <c r="A628" s="157"/>
      <c r="B628" s="158"/>
      <c r="C628" s="158"/>
      <c r="D628" s="158"/>
      <c r="E628" s="158"/>
      <c r="F628" s="159" t="s">
        <v>502</v>
      </c>
      <c r="G628" s="149">
        <f>SUM(L426)</f>
        <v>28707.09</v>
      </c>
      <c r="H628" s="160">
        <f>SUM(J462)</f>
        <v>28707.09</v>
      </c>
      <c r="I628" s="161" t="s">
        <v>126</v>
      </c>
      <c r="J628" s="149">
        <f t="shared" si="52"/>
        <v>0</v>
      </c>
      <c r="K628" s="162"/>
      <c r="L628" s="163"/>
      <c r="M628" s="164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127</v>
      </c>
      <c r="G629" s="108">
        <f>SUM(F438)</f>
        <v>128790.27</v>
      </c>
      <c r="H629" s="103">
        <f>SUM(F451)</f>
        <v>128790.27</v>
      </c>
      <c r="I629" s="139" t="s">
        <v>128</v>
      </c>
      <c r="J629" s="108">
        <f t="shared" si="52"/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129</v>
      </c>
      <c r="G630" s="108">
        <f>SUM(G438)</f>
        <v>0</v>
      </c>
      <c r="H630" s="103">
        <f>SUM(G451)</f>
        <v>0</v>
      </c>
      <c r="I630" s="139" t="s">
        <v>130</v>
      </c>
      <c r="J630" s="108">
        <f t="shared" si="52"/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131</v>
      </c>
      <c r="G631" s="108">
        <f>SUM(H438)</f>
        <v>0</v>
      </c>
      <c r="H631" s="103">
        <f>SUM(H451)</f>
        <v>0</v>
      </c>
      <c r="I631" s="139" t="s">
        <v>132</v>
      </c>
      <c r="J631" s="108">
        <f t="shared" si="52"/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133</v>
      </c>
      <c r="G632" s="108">
        <f>SUM(I438)</f>
        <v>128790.27</v>
      </c>
      <c r="H632" s="103">
        <f>SUM(I451)</f>
        <v>128790.27</v>
      </c>
      <c r="I632" s="139" t="s">
        <v>134</v>
      </c>
      <c r="J632" s="108">
        <f t="shared" si="52"/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19" t="s">
        <v>272</v>
      </c>
      <c r="G633" s="108">
        <f>J49</f>
        <v>0</v>
      </c>
      <c r="H633" s="103">
        <f>F400</f>
        <v>0</v>
      </c>
      <c r="I633" s="139" t="s">
        <v>503</v>
      </c>
      <c r="J633" s="108">
        <f t="shared" si="52"/>
        <v>0</v>
      </c>
      <c r="K633" s="84"/>
      <c r="L633" s="87"/>
      <c r="M633" s="8"/>
    </row>
    <row r="634" spans="1:13" s="3" customFormat="1" ht="12" customHeight="1" x14ac:dyDescent="0.15">
      <c r="A634" s="22"/>
      <c r="B634" s="104"/>
      <c r="C634" s="104"/>
      <c r="D634" s="104"/>
      <c r="E634" s="104"/>
      <c r="F634" s="119" t="s">
        <v>697</v>
      </c>
      <c r="G634" s="108">
        <f>J88</f>
        <v>3365.48</v>
      </c>
      <c r="H634" s="103">
        <f>H400</f>
        <v>3365.4799999999996</v>
      </c>
      <c r="I634" s="139" t="s">
        <v>504</v>
      </c>
      <c r="J634" s="108">
        <f t="shared" si="52"/>
        <v>0</v>
      </c>
      <c r="K634" s="84"/>
      <c r="L634" s="87"/>
      <c r="M634" s="8"/>
    </row>
    <row r="635" spans="1:13" s="3" customFormat="1" ht="12" customHeight="1" x14ac:dyDescent="0.15">
      <c r="A635" s="22"/>
      <c r="B635" s="104"/>
      <c r="C635" s="104"/>
      <c r="D635" s="104"/>
      <c r="E635" s="104"/>
      <c r="F635" s="119" t="s">
        <v>698</v>
      </c>
      <c r="G635" s="108">
        <f>J175</f>
        <v>50000</v>
      </c>
      <c r="H635" s="103">
        <f>G400</f>
        <v>50000</v>
      </c>
      <c r="I635" s="139" t="s">
        <v>505</v>
      </c>
      <c r="J635" s="108">
        <f t="shared" si="52"/>
        <v>0</v>
      </c>
      <c r="K635" s="84"/>
      <c r="L635" s="87"/>
      <c r="M635" s="8"/>
    </row>
    <row r="636" spans="1:13" s="3" customFormat="1" ht="12" customHeight="1" x14ac:dyDescent="0.15">
      <c r="A636" s="22"/>
      <c r="B636" s="104"/>
      <c r="C636" s="104"/>
      <c r="D636" s="104"/>
      <c r="E636" s="104"/>
      <c r="F636" s="119" t="s">
        <v>696</v>
      </c>
      <c r="G636" s="108">
        <f>J185</f>
        <v>53365.48</v>
      </c>
      <c r="H636" s="103">
        <f>L400</f>
        <v>53365.479999999996</v>
      </c>
      <c r="I636" s="139" t="s">
        <v>501</v>
      </c>
      <c r="J636" s="108">
        <f t="shared" si="52"/>
        <v>0</v>
      </c>
      <c r="K636" s="84"/>
      <c r="L636" s="87"/>
      <c r="M636" s="8"/>
    </row>
    <row r="637" spans="1:13" s="3" customFormat="1" ht="12" customHeight="1" x14ac:dyDescent="0.15">
      <c r="A637" s="22"/>
      <c r="B637" s="104"/>
      <c r="C637" s="104"/>
      <c r="D637" s="104"/>
      <c r="E637" s="104"/>
      <c r="F637" s="119" t="s">
        <v>51</v>
      </c>
      <c r="G637" s="108">
        <f>K588</f>
        <v>518412.45999999996</v>
      </c>
      <c r="H637" s="103">
        <f>L200+L218+L236</f>
        <v>518412.46</v>
      </c>
      <c r="I637" s="139" t="s">
        <v>420</v>
      </c>
      <c r="J637" s="108">
        <f t="shared" si="52"/>
        <v>0</v>
      </c>
      <c r="K637" s="84"/>
      <c r="L637" s="87"/>
      <c r="M637" s="8"/>
    </row>
    <row r="638" spans="1:13" s="3" customFormat="1" ht="12" customHeight="1" x14ac:dyDescent="0.15">
      <c r="A638" s="22"/>
      <c r="B638" s="104"/>
      <c r="C638" s="104"/>
      <c r="D638" s="104"/>
      <c r="E638" s="104"/>
      <c r="F638" s="119" t="s">
        <v>52</v>
      </c>
      <c r="G638" s="108">
        <f>K595</f>
        <v>36230.61</v>
      </c>
      <c r="H638" s="103">
        <f>(J249+J330)-(J247+J328)</f>
        <v>36230.61</v>
      </c>
      <c r="I638" s="139" t="s">
        <v>734</v>
      </c>
      <c r="J638" s="108">
        <f t="shared" si="52"/>
        <v>0</v>
      </c>
      <c r="K638" s="84"/>
      <c r="L638" s="87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411</v>
      </c>
      <c r="G639" s="108">
        <f>L200</f>
        <v>343845</v>
      </c>
      <c r="H639" s="103">
        <f>H588</f>
        <v>343845</v>
      </c>
      <c r="I639" s="139" t="s">
        <v>412</v>
      </c>
      <c r="J639" s="108">
        <f t="shared" si="52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416</v>
      </c>
      <c r="G640" s="108">
        <f>L218</f>
        <v>0</v>
      </c>
      <c r="H640" s="103">
        <f>I588</f>
        <v>0</v>
      </c>
      <c r="I640" s="139" t="s">
        <v>413</v>
      </c>
      <c r="J640" s="108">
        <f t="shared" si="52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417</v>
      </c>
      <c r="G641" s="108">
        <f>L236</f>
        <v>174567.46000000002</v>
      </c>
      <c r="H641" s="103">
        <f>J588</f>
        <v>174567.46000000002</v>
      </c>
      <c r="I641" s="139" t="s">
        <v>414</v>
      </c>
      <c r="J641" s="108">
        <f t="shared" si="52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699</v>
      </c>
      <c r="G642" s="108">
        <f>G171</f>
        <v>80067.350000000006</v>
      </c>
      <c r="H642" s="103">
        <f>K255+K337</f>
        <v>80067.350000000006</v>
      </c>
      <c r="I642" s="139" t="s">
        <v>421</v>
      </c>
      <c r="J642" s="108">
        <f t="shared" si="52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700</v>
      </c>
      <c r="G643" s="108">
        <f>H171</f>
        <v>0</v>
      </c>
      <c r="H643" s="103">
        <f>K256</f>
        <v>0</v>
      </c>
      <c r="I643" s="139" t="s">
        <v>422</v>
      </c>
      <c r="J643" s="108">
        <f t="shared" si="52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701</v>
      </c>
      <c r="G644" s="108">
        <f>I171</f>
        <v>0</v>
      </c>
      <c r="H644" s="103">
        <f>K257+K338</f>
        <v>0</v>
      </c>
      <c r="I644" s="139" t="s">
        <v>423</v>
      </c>
      <c r="J644" s="108">
        <f t="shared" si="52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702</v>
      </c>
      <c r="G645" s="108">
        <f>J171</f>
        <v>50000</v>
      </c>
      <c r="H645" s="103">
        <f>K258+K339</f>
        <v>50000</v>
      </c>
      <c r="I645" s="139" t="s">
        <v>424</v>
      </c>
      <c r="J645" s="108">
        <f t="shared" si="52"/>
        <v>0</v>
      </c>
      <c r="K645" s="84"/>
      <c r="L645" s="87"/>
      <c r="M645" s="8"/>
    </row>
    <row r="646" spans="1:13" s="3" customFormat="1" ht="12" customHeight="1" x14ac:dyDescent="0.15">
      <c r="A646" s="126"/>
      <c r="B646" s="126"/>
      <c r="C646" s="126"/>
      <c r="D646" s="126"/>
      <c r="E646" s="126"/>
      <c r="F646" s="26" t="s">
        <v>135</v>
      </c>
      <c r="G646" s="19"/>
      <c r="H646" s="103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6451850.6999999993</v>
      </c>
      <c r="G650" s="19">
        <f>(L221+L301+L351)</f>
        <v>0</v>
      </c>
      <c r="H650" s="19">
        <f>(L239+L320+L352)</f>
        <v>2421397.0499999998</v>
      </c>
      <c r="I650" s="19">
        <f>SUM(F650:H650)</f>
        <v>8873247.75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62557.89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62557.89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341520.26</v>
      </c>
      <c r="G652" s="19">
        <f>(L218+L298)-(J218+J298)</f>
        <v>0</v>
      </c>
      <c r="H652" s="19">
        <f>(L236+L317)-(J236+J317)</f>
        <v>173387.2</v>
      </c>
      <c r="I652" s="19">
        <f>SUM(F652:H652)</f>
        <v>514907.46</v>
      </c>
      <c r="J652"/>
      <c r="K652" s="13"/>
      <c r="L652" s="13"/>
      <c r="M652" s="9"/>
    </row>
    <row r="653" spans="1:13" s="3" customFormat="1" ht="12" customHeight="1" x14ac:dyDescent="0.15">
      <c r="A653" s="195" t="s">
        <v>142</v>
      </c>
      <c r="B653" s="165"/>
      <c r="C653" s="165"/>
      <c r="D653" s="165"/>
      <c r="E653" s="165"/>
      <c r="F653" s="196">
        <f>SUM(F565:F577)+SUM(H592:H594)+SUM(L601)</f>
        <v>413086.65</v>
      </c>
      <c r="G653" s="196">
        <f>SUM(G565:G577)+SUM(I592:I594)+L602</f>
        <v>0</v>
      </c>
      <c r="H653" s="196">
        <f>SUM(H565:H577)+SUM(J592:J594)+L603</f>
        <v>2246829.59</v>
      </c>
      <c r="I653" s="19">
        <f>SUM(F653:H653)</f>
        <v>2659916.2399999998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5634685.8999999994</v>
      </c>
      <c r="G654" s="19">
        <f>G650-SUM(G651:G653)</f>
        <v>0</v>
      </c>
      <c r="H654" s="19">
        <f>H650-SUM(H651:H653)</f>
        <v>1180.2599999997765</v>
      </c>
      <c r="I654" s="19">
        <f>I650-SUM(I651:I653)</f>
        <v>5635866.1600000001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3">
        <v>446.4</v>
      </c>
      <c r="G655" s="244">
        <v>0</v>
      </c>
      <c r="H655" s="244">
        <v>0</v>
      </c>
      <c r="I655" s="19">
        <f>SUM(F655:H655)</f>
        <v>446.4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12622.5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12625.15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-1180.26</v>
      </c>
      <c r="I659" s="19">
        <f>SUM(F659:H659)</f>
        <v>-1180.26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12622.5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12622.5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A853-C8C9-4960-96EC-6BA5262569BD}">
  <sheetPr>
    <tabColor indexed="20"/>
  </sheetPr>
  <dimension ref="A1:C52"/>
  <sheetViews>
    <sheetView workbookViewId="0">
      <selection activeCell="C48" sqref="C4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29" t="s">
        <v>816</v>
      </c>
      <c r="B1" s="228" t="str">
        <f>'DOE25'!A2</f>
        <v>Wakefield SD</v>
      </c>
      <c r="C1" s="234" t="s">
        <v>870</v>
      </c>
    </row>
    <row r="2" spans="1:3" x14ac:dyDescent="0.2">
      <c r="A2" s="229"/>
      <c r="B2" s="228"/>
    </row>
    <row r="3" spans="1:3" x14ac:dyDescent="0.2">
      <c r="A3" s="269" t="s">
        <v>815</v>
      </c>
      <c r="B3" s="269"/>
      <c r="C3" s="269"/>
    </row>
    <row r="4" spans="1:3" x14ac:dyDescent="0.2">
      <c r="A4" s="232"/>
      <c r="B4" s="233" t="str">
        <f>'DOE25'!H1</f>
        <v>DOE 25  2010-2011</v>
      </c>
      <c r="C4" s="232"/>
    </row>
    <row r="5" spans="1:3" x14ac:dyDescent="0.2">
      <c r="A5" s="229"/>
      <c r="B5" s="228"/>
    </row>
    <row r="6" spans="1:3" x14ac:dyDescent="0.2">
      <c r="A6" s="223"/>
      <c r="B6" s="268" t="s">
        <v>814</v>
      </c>
      <c r="C6" s="268"/>
    </row>
    <row r="7" spans="1:3" x14ac:dyDescent="0.2">
      <c r="A7" s="235" t="s">
        <v>817</v>
      </c>
      <c r="B7" s="266" t="s">
        <v>813</v>
      </c>
      <c r="C7" s="267"/>
    </row>
    <row r="8" spans="1:3" x14ac:dyDescent="0.2">
      <c r="B8" s="224" t="s">
        <v>54</v>
      </c>
      <c r="C8" s="224" t="s">
        <v>807</v>
      </c>
    </row>
    <row r="9" spans="1:3" x14ac:dyDescent="0.2">
      <c r="A9" s="33" t="s">
        <v>808</v>
      </c>
      <c r="B9" s="225">
        <f>'DOE25'!F189+'DOE25'!F207+'DOE25'!F225+'DOE25'!F268+'DOE25'!F287+'DOE25'!F306</f>
        <v>1721731.58</v>
      </c>
      <c r="C9" s="225">
        <f>'DOE25'!G189+'DOE25'!G207+'DOE25'!G225+'DOE25'!G268+'DOE25'!G287+'DOE25'!G306</f>
        <v>729039.40000000014</v>
      </c>
    </row>
    <row r="10" spans="1:3" x14ac:dyDescent="0.2">
      <c r="A10" t="s">
        <v>810</v>
      </c>
      <c r="B10" s="236">
        <v>1656777.36</v>
      </c>
      <c r="C10" s="236">
        <v>719107.45</v>
      </c>
    </row>
    <row r="11" spans="1:3" x14ac:dyDescent="0.2">
      <c r="A11" t="s">
        <v>811</v>
      </c>
      <c r="B11" s="236">
        <v>43356.72</v>
      </c>
      <c r="C11" s="236">
        <v>8279.74</v>
      </c>
    </row>
    <row r="12" spans="1:3" x14ac:dyDescent="0.2">
      <c r="A12" t="s">
        <v>812</v>
      </c>
      <c r="B12" s="236">
        <v>21597.5</v>
      </c>
      <c r="C12" s="236">
        <f>ROUND(B12*0.0765,2)</f>
        <v>1652.21</v>
      </c>
    </row>
    <row r="13" spans="1:3" x14ac:dyDescent="0.2">
      <c r="A13" t="str">
        <f>IF(B9=B13,IF(C9=C13,"Check Total OK","Check Total Error"),"Check Total Error")</f>
        <v>Check Total OK</v>
      </c>
      <c r="B13" s="227">
        <f>SUM(B10:B12)</f>
        <v>1721731.58</v>
      </c>
      <c r="C13" s="227">
        <f>SUM(C10:C12)</f>
        <v>729039.39999999991</v>
      </c>
    </row>
    <row r="14" spans="1:3" x14ac:dyDescent="0.2">
      <c r="B14" s="226"/>
      <c r="C14" s="226"/>
    </row>
    <row r="15" spans="1:3" x14ac:dyDescent="0.2">
      <c r="B15" s="268" t="s">
        <v>814</v>
      </c>
      <c r="C15" s="268"/>
    </row>
    <row r="16" spans="1:3" x14ac:dyDescent="0.2">
      <c r="A16" s="235" t="s">
        <v>818</v>
      </c>
      <c r="B16" s="266" t="s">
        <v>738</v>
      </c>
      <c r="C16" s="267"/>
    </row>
    <row r="17" spans="1:3" x14ac:dyDescent="0.2">
      <c r="B17" s="224" t="s">
        <v>54</v>
      </c>
      <c r="C17" s="224" t="s">
        <v>807</v>
      </c>
    </row>
    <row r="18" spans="1:3" x14ac:dyDescent="0.2">
      <c r="A18" s="33" t="s">
        <v>808</v>
      </c>
      <c r="B18" s="225">
        <f>'DOE25'!F190+'DOE25'!F208+'DOE25'!F226+'DOE25'!F269+'DOE25'!F288+'DOE25'!F307</f>
        <v>565578.03</v>
      </c>
      <c r="C18" s="225">
        <f>'DOE25'!G190+'DOE25'!G208+'DOE25'!G226+'DOE25'!G269+'DOE25'!G288+'DOE25'!G307</f>
        <v>142898.79</v>
      </c>
    </row>
    <row r="19" spans="1:3" x14ac:dyDescent="0.2">
      <c r="A19" t="s">
        <v>810</v>
      </c>
      <c r="B19" s="236">
        <v>192857.55</v>
      </c>
      <c r="C19" s="236">
        <v>72452.89</v>
      </c>
    </row>
    <row r="20" spans="1:3" x14ac:dyDescent="0.2">
      <c r="A20" t="s">
        <v>811</v>
      </c>
      <c r="B20" s="236">
        <v>337315.55</v>
      </c>
      <c r="C20" s="236">
        <v>67594.13</v>
      </c>
    </row>
    <row r="21" spans="1:3" x14ac:dyDescent="0.2">
      <c r="A21" t="s">
        <v>812</v>
      </c>
      <c r="B21" s="236">
        <v>35404.93</v>
      </c>
      <c r="C21" s="236">
        <v>2851.77</v>
      </c>
    </row>
    <row r="22" spans="1:3" x14ac:dyDescent="0.2">
      <c r="A22" t="str">
        <f>IF(B18=B22,IF(C18=C22,"Check Total OK","Check Total Error"),"Check Total Error")</f>
        <v>Check Total OK</v>
      </c>
      <c r="B22" s="227">
        <f>SUM(B19:B21)</f>
        <v>565578.03</v>
      </c>
      <c r="C22" s="227">
        <f>SUM(C19:C21)</f>
        <v>142898.79</v>
      </c>
    </row>
    <row r="23" spans="1:3" x14ac:dyDescent="0.2">
      <c r="B23" s="226"/>
      <c r="C23" s="226"/>
    </row>
    <row r="24" spans="1:3" x14ac:dyDescent="0.2">
      <c r="B24" s="268" t="s">
        <v>814</v>
      </c>
      <c r="C24" s="268"/>
    </row>
    <row r="25" spans="1:3" x14ac:dyDescent="0.2">
      <c r="A25" s="235" t="s">
        <v>819</v>
      </c>
      <c r="B25" s="266" t="s">
        <v>739</v>
      </c>
      <c r="C25" s="267"/>
    </row>
    <row r="26" spans="1:3" x14ac:dyDescent="0.2">
      <c r="B26" s="224" t="s">
        <v>54</v>
      </c>
      <c r="C26" s="224" t="s">
        <v>807</v>
      </c>
    </row>
    <row r="27" spans="1:3" x14ac:dyDescent="0.2">
      <c r="A27" s="33" t="s">
        <v>808</v>
      </c>
      <c r="B27" s="230">
        <f>'DOE25'!F191+'DOE25'!F209+'DOE25'!F227+'DOE25'!F270+'DOE25'!F289+'DOE25'!F308</f>
        <v>0</v>
      </c>
      <c r="C27" s="230">
        <f>'DOE25'!G191+'DOE25'!G209+'DOE25'!G227+'DOE25'!G270+'DOE25'!G289+'DOE25'!G308</f>
        <v>0</v>
      </c>
    </row>
    <row r="28" spans="1:3" x14ac:dyDescent="0.2">
      <c r="A28" t="s">
        <v>810</v>
      </c>
      <c r="B28" s="236">
        <v>0</v>
      </c>
      <c r="C28" s="236">
        <v>0</v>
      </c>
    </row>
    <row r="29" spans="1:3" x14ac:dyDescent="0.2">
      <c r="A29" t="s">
        <v>811</v>
      </c>
      <c r="B29" s="236">
        <v>0</v>
      </c>
      <c r="C29" s="236">
        <v>0</v>
      </c>
    </row>
    <row r="30" spans="1:3" x14ac:dyDescent="0.2">
      <c r="A30" t="s">
        <v>812</v>
      </c>
      <c r="B30" s="236">
        <v>0</v>
      </c>
      <c r="C30" s="236">
        <v>0</v>
      </c>
    </row>
    <row r="31" spans="1:3" x14ac:dyDescent="0.2">
      <c r="A31" t="str">
        <f>IF(B27=B31,IF(C27=C31,"Check Total OK","Check Total Error"),"Check Total Error")</f>
        <v>Check Total OK</v>
      </c>
      <c r="B31" s="227">
        <f>SUM(B28:B30)</f>
        <v>0</v>
      </c>
      <c r="C31" s="227">
        <f>SUM(C28:C30)</f>
        <v>0</v>
      </c>
    </row>
    <row r="33" spans="1:3" x14ac:dyDescent="0.2">
      <c r="B33" s="268" t="s">
        <v>814</v>
      </c>
      <c r="C33" s="268"/>
    </row>
    <row r="34" spans="1:3" x14ac:dyDescent="0.2">
      <c r="A34" s="235" t="s">
        <v>820</v>
      </c>
      <c r="B34" s="266" t="s">
        <v>740</v>
      </c>
      <c r="C34" s="267"/>
    </row>
    <row r="35" spans="1:3" x14ac:dyDescent="0.2">
      <c r="B35" s="224" t="s">
        <v>54</v>
      </c>
      <c r="C35" s="224" t="s">
        <v>807</v>
      </c>
    </row>
    <row r="36" spans="1:3" x14ac:dyDescent="0.2">
      <c r="A36" s="33" t="s">
        <v>808</v>
      </c>
      <c r="B36" s="231">
        <f>'DOE25'!F192+'DOE25'!F210+'DOE25'!F228+'DOE25'!F271+'DOE25'!F290+'DOE25'!F309</f>
        <v>10196</v>
      </c>
      <c r="C36" s="231">
        <f>'DOE25'!G192+'DOE25'!G210+'DOE25'!G228+'DOE25'!G271+'DOE25'!G290+'DOE25'!G309</f>
        <v>1741.87</v>
      </c>
    </row>
    <row r="37" spans="1:3" x14ac:dyDescent="0.2">
      <c r="A37" t="s">
        <v>810</v>
      </c>
      <c r="B37" s="236">
        <v>2866</v>
      </c>
      <c r="C37" s="236">
        <v>1228.77</v>
      </c>
    </row>
    <row r="38" spans="1:3" x14ac:dyDescent="0.2">
      <c r="A38" t="s">
        <v>811</v>
      </c>
      <c r="B38" s="236">
        <v>7330</v>
      </c>
      <c r="C38" s="236">
        <f>ROUND(B38*0.07,2)</f>
        <v>513.1</v>
      </c>
    </row>
    <row r="39" spans="1:3" x14ac:dyDescent="0.2">
      <c r="A39" t="s">
        <v>812</v>
      </c>
      <c r="B39" s="236">
        <v>0</v>
      </c>
      <c r="C39" s="236">
        <v>0</v>
      </c>
    </row>
    <row r="40" spans="1:3" x14ac:dyDescent="0.2">
      <c r="A40" t="str">
        <f>IF(B36=B40,IF(C36=C40,"Check Total OK","Check Total Error"),"Check Total Error")</f>
        <v>Check Total OK</v>
      </c>
      <c r="B40" s="227">
        <f>SUM(B37:B39)</f>
        <v>10196</v>
      </c>
      <c r="C40" s="227">
        <f>SUM(C37:C39)</f>
        <v>1741.87</v>
      </c>
    </row>
    <row r="41" spans="1:3" x14ac:dyDescent="0.2">
      <c r="B41" s="226"/>
      <c r="C41" s="226"/>
    </row>
    <row r="42" spans="1:3" x14ac:dyDescent="0.2">
      <c r="A42" s="33" t="s">
        <v>868</v>
      </c>
      <c r="B42" s="226"/>
      <c r="C42" s="226"/>
    </row>
    <row r="43" spans="1:3" x14ac:dyDescent="0.2">
      <c r="A43" t="s">
        <v>872</v>
      </c>
      <c r="B43" s="226"/>
      <c r="C43" s="226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0" t="s">
        <v>809</v>
      </c>
    </row>
    <row r="49" spans="1:1" x14ac:dyDescent="0.2">
      <c r="A49" s="264" t="s">
        <v>875</v>
      </c>
    </row>
    <row r="50" spans="1:1" x14ac:dyDescent="0.2">
      <c r="A50" s="264" t="s">
        <v>869</v>
      </c>
    </row>
    <row r="51" spans="1:1" x14ac:dyDescent="0.2">
      <c r="A51" s="264" t="s">
        <v>876</v>
      </c>
    </row>
    <row r="52" spans="1:1" x14ac:dyDescent="0.2">
      <c r="A52" s="265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233BC-55BD-467B-8C99-6EBAF2591590}">
  <sheetPr>
    <tabColor indexed="11"/>
  </sheetPr>
  <dimension ref="A1:I51"/>
  <sheetViews>
    <sheetView workbookViewId="0">
      <pane ySplit="4" topLeftCell="A5" activePane="bottomLeft" state="frozen"/>
      <selection pane="bottomLeft" activeCell="F41" sqref="F4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68" t="s">
        <v>821</v>
      </c>
      <c r="B1" s="273"/>
      <c r="C1" s="273"/>
      <c r="D1" s="273"/>
      <c r="E1" s="273"/>
      <c r="F1" s="273"/>
      <c r="G1" s="273"/>
      <c r="H1" s="273"/>
      <c r="I1" s="177"/>
    </row>
    <row r="2" spans="1:9" x14ac:dyDescent="0.2">
      <c r="A2" s="33" t="s">
        <v>748</v>
      </c>
      <c r="B2" s="261" t="str">
        <f>'DOE25'!A2</f>
        <v>Wakefield SD</v>
      </c>
      <c r="C2" s="177"/>
      <c r="D2" s="177" t="s">
        <v>823</v>
      </c>
      <c r="E2" s="177" t="s">
        <v>825</v>
      </c>
      <c r="F2" s="270" t="s">
        <v>852</v>
      </c>
      <c r="G2" s="271"/>
      <c r="H2" s="272"/>
      <c r="I2" s="177"/>
    </row>
    <row r="3" spans="1:9" x14ac:dyDescent="0.2">
      <c r="A3" s="177" t="s">
        <v>94</v>
      </c>
      <c r="B3" s="224" t="s">
        <v>10</v>
      </c>
      <c r="C3" s="177" t="s">
        <v>5</v>
      </c>
      <c r="D3" s="177" t="s">
        <v>824</v>
      </c>
      <c r="E3" s="177" t="s">
        <v>826</v>
      </c>
      <c r="F3" s="237" t="s">
        <v>866</v>
      </c>
      <c r="G3" s="213" t="s">
        <v>59</v>
      </c>
      <c r="H3" s="238" t="s">
        <v>829</v>
      </c>
    </row>
    <row r="4" spans="1:9" x14ac:dyDescent="0.2">
      <c r="A4" s="247" t="s">
        <v>831</v>
      </c>
      <c r="B4" s="247" t="s">
        <v>847</v>
      </c>
      <c r="C4" s="247" t="s">
        <v>822</v>
      </c>
      <c r="D4" s="247" t="s">
        <v>848</v>
      </c>
      <c r="E4" s="247" t="s">
        <v>848</v>
      </c>
      <c r="F4" s="246" t="s">
        <v>828</v>
      </c>
      <c r="G4" s="247" t="s">
        <v>842</v>
      </c>
      <c r="H4" s="248" t="s">
        <v>830</v>
      </c>
    </row>
    <row r="5" spans="1:9" x14ac:dyDescent="0.2">
      <c r="A5" s="32">
        <v>1000</v>
      </c>
      <c r="B5" t="s">
        <v>218</v>
      </c>
      <c r="C5" s="241">
        <f t="shared" ref="C5:C19" si="0">SUM(D5:H5)</f>
        <v>5988385.0300000003</v>
      </c>
      <c r="D5" s="20">
        <f>SUM('DOE25'!L189:L192)+SUM('DOE25'!L207:L210)+SUM('DOE25'!L225:L228)-F5-G5</f>
        <v>5983671.5300000003</v>
      </c>
      <c r="E5" s="239"/>
      <c r="F5" s="251">
        <f>SUM('DOE25'!J189:J192)+SUM('DOE25'!J207:J210)+SUM('DOE25'!J225:J228)</f>
        <v>4150.5</v>
      </c>
      <c r="G5" s="53">
        <f>SUM('DOE25'!K189:K192)+SUM('DOE25'!K207:K210)+SUM('DOE25'!K225:K228)</f>
        <v>563</v>
      </c>
      <c r="H5" s="255"/>
    </row>
    <row r="6" spans="1:9" x14ac:dyDescent="0.2">
      <c r="A6" s="32">
        <v>2100</v>
      </c>
      <c r="B6" t="s">
        <v>832</v>
      </c>
      <c r="C6" s="241">
        <f t="shared" si="0"/>
        <v>276565.24000000005</v>
      </c>
      <c r="D6" s="20">
        <f>'DOE25'!L194+'DOE25'!L212+'DOE25'!L230-F6-G6</f>
        <v>276410.24000000005</v>
      </c>
      <c r="E6" s="239"/>
      <c r="F6" s="251">
        <f>'DOE25'!J194+'DOE25'!J212+'DOE25'!J230</f>
        <v>0</v>
      </c>
      <c r="G6" s="53">
        <f>'DOE25'!K194+'DOE25'!K212+'DOE25'!K230</f>
        <v>155</v>
      </c>
      <c r="H6" s="255"/>
    </row>
    <row r="7" spans="1:9" x14ac:dyDescent="0.2">
      <c r="A7" s="32">
        <v>2200</v>
      </c>
      <c r="B7" t="s">
        <v>865</v>
      </c>
      <c r="C7" s="241">
        <f t="shared" si="0"/>
        <v>98642.639999999985</v>
      </c>
      <c r="D7" s="20">
        <f>'DOE25'!L195+'DOE25'!L213+'DOE25'!L231-F7-G7</f>
        <v>97094.329999999987</v>
      </c>
      <c r="E7" s="239"/>
      <c r="F7" s="251">
        <f>'DOE25'!J195+'DOE25'!J213+'DOE25'!J231</f>
        <v>1548.31</v>
      </c>
      <c r="G7" s="53">
        <f>'DOE25'!K195+'DOE25'!K213+'DOE25'!K231</f>
        <v>0</v>
      </c>
      <c r="H7" s="255"/>
    </row>
    <row r="8" spans="1:9" x14ac:dyDescent="0.2">
      <c r="A8" s="32">
        <v>2300</v>
      </c>
      <c r="B8" t="s">
        <v>833</v>
      </c>
      <c r="C8" s="241">
        <f t="shared" si="0"/>
        <v>358414.83</v>
      </c>
      <c r="D8" s="239"/>
      <c r="E8" s="20">
        <f>'DOE25'!L196+'DOE25'!L214+'DOE25'!L232-F8-G8-D9-D11</f>
        <v>354349.39</v>
      </c>
      <c r="F8" s="251">
        <f>'DOE25'!J196+'DOE25'!J214+'DOE25'!J232</f>
        <v>0</v>
      </c>
      <c r="G8" s="53">
        <f>'DOE25'!K196+'DOE25'!K214+'DOE25'!K232</f>
        <v>4065.44</v>
      </c>
      <c r="H8" s="255"/>
    </row>
    <row r="9" spans="1:9" x14ac:dyDescent="0.2">
      <c r="A9" s="32">
        <v>2310</v>
      </c>
      <c r="B9" t="s">
        <v>849</v>
      </c>
      <c r="C9" s="241">
        <f t="shared" si="0"/>
        <v>34266.14</v>
      </c>
      <c r="D9" s="240">
        <v>34266.14</v>
      </c>
      <c r="E9" s="239"/>
      <c r="F9" s="254"/>
      <c r="G9" s="252"/>
      <c r="H9" s="255"/>
    </row>
    <row r="10" spans="1:9" x14ac:dyDescent="0.2">
      <c r="A10" s="32">
        <v>2317</v>
      </c>
      <c r="B10" t="s">
        <v>850</v>
      </c>
      <c r="C10" s="241">
        <f t="shared" si="0"/>
        <v>10445.790000000001</v>
      </c>
      <c r="D10" s="239"/>
      <c r="E10" s="240">
        <v>10445.790000000001</v>
      </c>
      <c r="F10" s="254"/>
      <c r="G10" s="252"/>
      <c r="H10" s="255"/>
    </row>
    <row r="11" spans="1:9" x14ac:dyDescent="0.2">
      <c r="A11" s="32">
        <v>2321</v>
      </c>
      <c r="B11" t="s">
        <v>862</v>
      </c>
      <c r="C11" s="241">
        <f t="shared" si="0"/>
        <v>107134.96</v>
      </c>
      <c r="D11" s="240">
        <f>ROUND((98206+44706+10923.77+13090.74+8208+16177.92)*0.56,2)</f>
        <v>107134.96</v>
      </c>
      <c r="E11" s="239"/>
      <c r="F11" s="254"/>
      <c r="G11" s="252"/>
      <c r="H11" s="255"/>
    </row>
    <row r="12" spans="1:9" x14ac:dyDescent="0.2">
      <c r="A12" s="32">
        <v>2400</v>
      </c>
      <c r="B12" t="s">
        <v>746</v>
      </c>
      <c r="C12" s="241">
        <f t="shared" si="0"/>
        <v>291286.43000000005</v>
      </c>
      <c r="D12" s="20">
        <f>'DOE25'!L197+'DOE25'!L215+'DOE25'!L233-F12-G12</f>
        <v>288841.28000000003</v>
      </c>
      <c r="E12" s="239"/>
      <c r="F12" s="251">
        <f>'DOE25'!J197+'DOE25'!J215+'DOE25'!J233</f>
        <v>0</v>
      </c>
      <c r="G12" s="53">
        <f>'DOE25'!K197+'DOE25'!K215+'DOE25'!K233</f>
        <v>2445.15</v>
      </c>
      <c r="H12" s="255"/>
    </row>
    <row r="13" spans="1:9" x14ac:dyDescent="0.2">
      <c r="A13" s="32">
        <v>2500</v>
      </c>
      <c r="B13" t="s">
        <v>834</v>
      </c>
      <c r="C13" s="241">
        <f t="shared" si="0"/>
        <v>0</v>
      </c>
      <c r="D13" s="239"/>
      <c r="E13" s="20">
        <f>'DOE25'!L198+'DOE25'!L216+'DOE25'!L234-F13-G13</f>
        <v>0</v>
      </c>
      <c r="F13" s="251">
        <f>'DOE25'!J198+'DOE25'!J216+'DOE25'!J234</f>
        <v>0</v>
      </c>
      <c r="G13" s="53">
        <f>'DOE25'!K198+'DOE25'!K216+'DOE25'!K234</f>
        <v>0</v>
      </c>
      <c r="H13" s="255"/>
    </row>
    <row r="14" spans="1:9" x14ac:dyDescent="0.2">
      <c r="A14" s="32">
        <v>2600</v>
      </c>
      <c r="B14" t="s">
        <v>863</v>
      </c>
      <c r="C14" s="241">
        <f t="shared" si="0"/>
        <v>441941.81</v>
      </c>
      <c r="D14" s="20">
        <f>'DOE25'!L199+'DOE25'!L217+'DOE25'!L235-F14-G14</f>
        <v>433437.35</v>
      </c>
      <c r="E14" s="239"/>
      <c r="F14" s="251">
        <f>'DOE25'!J199+'DOE25'!J217+'DOE25'!J235</f>
        <v>8504.4599999999991</v>
      </c>
      <c r="G14" s="53">
        <f>'DOE25'!K199+'DOE25'!K217+'DOE25'!K235</f>
        <v>0</v>
      </c>
      <c r="H14" s="255"/>
    </row>
    <row r="15" spans="1:9" x14ac:dyDescent="0.2">
      <c r="A15" s="32">
        <v>2700</v>
      </c>
      <c r="B15" t="s">
        <v>835</v>
      </c>
      <c r="C15" s="241">
        <f t="shared" si="0"/>
        <v>518412.46</v>
      </c>
      <c r="D15" s="20">
        <f>'DOE25'!L200+'DOE25'!L218+'DOE25'!L236-F15-G15</f>
        <v>509674.27</v>
      </c>
      <c r="E15" s="239"/>
      <c r="F15" s="251">
        <f>'DOE25'!J200+'DOE25'!J218+'DOE25'!J236</f>
        <v>3505</v>
      </c>
      <c r="G15" s="53">
        <f>'DOE25'!K200+'DOE25'!K218+'DOE25'!K236</f>
        <v>5233.1899999999996</v>
      </c>
      <c r="H15" s="255"/>
    </row>
    <row r="16" spans="1:9" x14ac:dyDescent="0.2">
      <c r="A16" s="32">
        <v>2800</v>
      </c>
      <c r="B16" t="s">
        <v>836</v>
      </c>
      <c r="C16" s="241">
        <f t="shared" si="0"/>
        <v>41778.679999999993</v>
      </c>
      <c r="D16" s="239"/>
      <c r="E16" s="20">
        <f>'DOE25'!L201+'DOE25'!L219+'DOE25'!L237-F16-G16</f>
        <v>36025.839999999997</v>
      </c>
      <c r="F16" s="251">
        <f>'DOE25'!J201+'DOE25'!J219+'DOE25'!J237</f>
        <v>5752.84</v>
      </c>
      <c r="G16" s="53">
        <f>'DOE25'!K201+'DOE25'!K219+'DOE25'!K237</f>
        <v>0</v>
      </c>
      <c r="H16" s="255"/>
    </row>
    <row r="17" spans="1:8" x14ac:dyDescent="0.2">
      <c r="A17" s="32">
        <v>1600</v>
      </c>
      <c r="B17" t="s">
        <v>837</v>
      </c>
      <c r="C17" s="241">
        <f t="shared" si="0"/>
        <v>0</v>
      </c>
      <c r="D17" s="20">
        <f>'DOE25'!L243-F17-G17</f>
        <v>0</v>
      </c>
      <c r="E17" s="239"/>
      <c r="F17" s="251">
        <f>'DOE25'!J243</f>
        <v>0</v>
      </c>
      <c r="G17" s="53">
        <f>'DOE25'!K243</f>
        <v>0</v>
      </c>
      <c r="H17" s="255"/>
    </row>
    <row r="18" spans="1:8" x14ac:dyDescent="0.2">
      <c r="A18" s="32">
        <v>1700</v>
      </c>
      <c r="B18" t="s">
        <v>838</v>
      </c>
      <c r="C18" s="241">
        <f t="shared" si="0"/>
        <v>0</v>
      </c>
      <c r="D18" s="20">
        <f>'DOE25'!L244-F18-G18</f>
        <v>0</v>
      </c>
      <c r="E18" s="239"/>
      <c r="F18" s="251">
        <f>'DOE25'!J244</f>
        <v>0</v>
      </c>
      <c r="G18" s="53">
        <f>'DOE25'!K244</f>
        <v>0</v>
      </c>
      <c r="H18" s="255"/>
    </row>
    <row r="19" spans="1:8" x14ac:dyDescent="0.2">
      <c r="A19" s="32">
        <v>1800</v>
      </c>
      <c r="B19" t="s">
        <v>839</v>
      </c>
      <c r="C19" s="241">
        <f t="shared" si="0"/>
        <v>0</v>
      </c>
      <c r="D19" s="20">
        <f>'DOE25'!L245-F19-G19</f>
        <v>0</v>
      </c>
      <c r="E19" s="239"/>
      <c r="F19" s="251">
        <f>'DOE25'!J245</f>
        <v>0</v>
      </c>
      <c r="G19" s="53">
        <f>'DOE25'!K245</f>
        <v>0</v>
      </c>
      <c r="H19" s="255"/>
    </row>
    <row r="20" spans="1:8" x14ac:dyDescent="0.2">
      <c r="F20" s="256"/>
      <c r="G20" s="52"/>
      <c r="H20" s="257"/>
    </row>
    <row r="21" spans="1:8" x14ac:dyDescent="0.2">
      <c r="B21" s="33" t="s">
        <v>827</v>
      </c>
      <c r="F21" s="256"/>
      <c r="G21" s="52"/>
      <c r="H21" s="257"/>
    </row>
    <row r="22" spans="1:8" x14ac:dyDescent="0.2">
      <c r="A22" s="32">
        <v>4000</v>
      </c>
      <c r="B22" t="s">
        <v>864</v>
      </c>
      <c r="C22" s="241">
        <f>SUM(D22:H22)</f>
        <v>0</v>
      </c>
      <c r="D22" s="239"/>
      <c r="E22" s="239"/>
      <c r="F22" s="251">
        <f>'DOE25'!L247+'DOE25'!L328</f>
        <v>0</v>
      </c>
      <c r="G22" s="252"/>
      <c r="H22" s="255"/>
    </row>
    <row r="23" spans="1:8" x14ac:dyDescent="0.2">
      <c r="A23" s="32"/>
      <c r="F23" s="256"/>
      <c r="G23" s="52"/>
      <c r="H23" s="257"/>
    </row>
    <row r="24" spans="1:8" x14ac:dyDescent="0.2">
      <c r="A24" s="32"/>
      <c r="B24" s="33" t="s">
        <v>487</v>
      </c>
      <c r="F24" s="256"/>
      <c r="G24" s="52"/>
      <c r="H24" s="257"/>
    </row>
    <row r="25" spans="1:8" x14ac:dyDescent="0.2">
      <c r="A25" s="32" t="s">
        <v>840</v>
      </c>
      <c r="B25" t="s">
        <v>841</v>
      </c>
      <c r="C25" s="241">
        <f>SUM(D25:H25)</f>
        <v>180290</v>
      </c>
      <c r="D25" s="239"/>
      <c r="E25" s="239"/>
      <c r="F25" s="254"/>
      <c r="G25" s="252"/>
      <c r="H25" s="253">
        <f>'DOE25'!L252+'DOE25'!L253+'DOE25'!L333+'DOE25'!L334</f>
        <v>180290</v>
      </c>
    </row>
    <row r="26" spans="1:8" x14ac:dyDescent="0.2">
      <c r="A26" s="32"/>
      <c r="F26" s="256"/>
      <c r="G26" s="52"/>
      <c r="H26" s="257"/>
    </row>
    <row r="27" spans="1:8" x14ac:dyDescent="0.2">
      <c r="A27" s="32"/>
      <c r="B27" s="33" t="s">
        <v>843</v>
      </c>
      <c r="F27" s="256"/>
      <c r="G27" s="52"/>
      <c r="H27" s="257"/>
    </row>
    <row r="28" spans="1:8" x14ac:dyDescent="0.2">
      <c r="A28" s="32">
        <v>3100</v>
      </c>
      <c r="B28" t="s">
        <v>856</v>
      </c>
      <c r="F28" s="256"/>
      <c r="G28" s="52"/>
      <c r="H28" s="257"/>
    </row>
    <row r="29" spans="1:8" x14ac:dyDescent="0.2">
      <c r="A29" s="32"/>
      <c r="B29" t="s">
        <v>844</v>
      </c>
      <c r="C29" s="241">
        <f>SUM(D29:H29)</f>
        <v>145790.99</v>
      </c>
      <c r="D29" s="20">
        <f>'DOE25'!L350+'DOE25'!L351+'DOE25'!L352-'DOE25'!I359-F29-G29</f>
        <v>134705.15</v>
      </c>
      <c r="E29" s="239"/>
      <c r="F29" s="251">
        <f>'DOE25'!J350+'DOE25'!J351+'DOE25'!J352</f>
        <v>11085.84</v>
      </c>
      <c r="G29" s="53">
        <f>'DOE25'!K350+'DOE25'!K351+'DOE25'!K352</f>
        <v>0</v>
      </c>
      <c r="H29" s="255"/>
    </row>
    <row r="30" spans="1:8" x14ac:dyDescent="0.2">
      <c r="A30" s="32"/>
      <c r="D30" s="20"/>
      <c r="E30" s="239"/>
      <c r="F30" s="251"/>
      <c r="G30" s="53"/>
      <c r="H30" s="255"/>
    </row>
    <row r="31" spans="1:8" x14ac:dyDescent="0.2">
      <c r="A31" s="32" t="s">
        <v>858</v>
      </c>
      <c r="B31" t="s">
        <v>857</v>
      </c>
      <c r="C31" s="241">
        <f>SUM(D31:H31)</f>
        <v>482984.14</v>
      </c>
      <c r="D31" s="20">
        <f>'DOE25'!L282+'DOE25'!L301+'DOE25'!L320+'DOE25'!L325+'DOE25'!L326+'DOE25'!L327-F31-G31</f>
        <v>454386.87</v>
      </c>
      <c r="E31" s="239"/>
      <c r="F31" s="251">
        <f>'DOE25'!J282+'DOE25'!J301+'DOE25'!J320+'DOE25'!J325+'DOE25'!J326+'DOE25'!J327</f>
        <v>12769.5</v>
      </c>
      <c r="G31" s="53">
        <f>'DOE25'!K282+'DOE25'!K301+'DOE25'!K320+'DOE25'!K325+'DOE25'!K326+'DOE25'!K327</f>
        <v>15827.77</v>
      </c>
      <c r="H31" s="255"/>
    </row>
    <row r="32" spans="1:8" ht="12" thickBot="1" x14ac:dyDescent="0.25">
      <c r="F32" s="258"/>
      <c r="G32" s="249"/>
      <c r="H32" s="259"/>
    </row>
    <row r="33" spans="2:8" ht="12" thickTop="1" x14ac:dyDescent="0.2">
      <c r="B33" t="s">
        <v>845</v>
      </c>
      <c r="D33" s="242">
        <f>SUM(D5:D31)</f>
        <v>8319622.1200000001</v>
      </c>
      <c r="E33" s="242">
        <f>SUM(E5:E31)</f>
        <v>400821.02</v>
      </c>
      <c r="F33" s="242">
        <f>SUM(F5:F31)</f>
        <v>47316.45</v>
      </c>
      <c r="G33" s="242">
        <f>SUM(G5:G31)</f>
        <v>28289.55</v>
      </c>
      <c r="H33" s="242">
        <f>SUM(H5:H31)</f>
        <v>180290</v>
      </c>
    </row>
    <row r="35" spans="2:8" ht="12" thickBot="1" x14ac:dyDescent="0.25">
      <c r="B35" s="249" t="s">
        <v>878</v>
      </c>
      <c r="D35" s="250">
        <f>E33</f>
        <v>400821.02</v>
      </c>
      <c r="E35" s="245"/>
    </row>
    <row r="36" spans="2:8" ht="12" thickTop="1" x14ac:dyDescent="0.2">
      <c r="B36" t="s">
        <v>846</v>
      </c>
      <c r="D36" s="20">
        <f>D33</f>
        <v>8319622.1200000001</v>
      </c>
    </row>
    <row r="38" spans="2:8" x14ac:dyDescent="0.2">
      <c r="B38" s="183" t="s">
        <v>887</v>
      </c>
      <c r="C38" s="262"/>
      <c r="D38" s="263"/>
    </row>
    <row r="39" spans="2:8" x14ac:dyDescent="0.2">
      <c r="B39" t="s">
        <v>855</v>
      </c>
      <c r="D39" s="177" t="str">
        <f>IF(E10&gt;0,"Y","N")</f>
        <v>Y</v>
      </c>
    </row>
    <row r="41" spans="2:8" x14ac:dyDescent="0.2">
      <c r="B41" s="260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1F1E-E2B3-4280-A69C-E2EBE4F1D483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Wakefield SD</v>
      </c>
      <c r="B2" s="125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4"/>
      <c r="I2" s="124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1" t="s">
        <v>303</v>
      </c>
      <c r="B5" s="126"/>
      <c r="C5" s="3"/>
      <c r="D5" s="3"/>
      <c r="E5" s="3"/>
      <c r="F5" s="3"/>
      <c r="G5" s="3"/>
      <c r="H5" s="123"/>
      <c r="I5" s="123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3"/>
      <c r="I6" s="123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3"/>
      <c r="I7" s="123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3"/>
      <c r="I8" s="123"/>
    </row>
    <row r="9" spans="1:9" x14ac:dyDescent="0.2">
      <c r="A9" s="1" t="s">
        <v>152</v>
      </c>
      <c r="B9" s="6">
        <v>100</v>
      </c>
      <c r="C9" s="94">
        <f>'DOE25'!F9</f>
        <v>1348212.53</v>
      </c>
      <c r="D9" s="94">
        <f>'DOE25'!G9</f>
        <v>0</v>
      </c>
      <c r="E9" s="94">
        <f>'DOE25'!H9</f>
        <v>0</v>
      </c>
      <c r="F9" s="94">
        <f>'DOE25'!I9</f>
        <v>0</v>
      </c>
      <c r="G9" s="94">
        <f>'DOE25'!J9</f>
        <v>0</v>
      </c>
      <c r="H9" s="123"/>
      <c r="I9" s="123"/>
    </row>
    <row r="10" spans="1:9" x14ac:dyDescent="0.2">
      <c r="A10" s="1" t="s">
        <v>153</v>
      </c>
      <c r="B10" s="6">
        <v>110</v>
      </c>
      <c r="C10" s="94">
        <f>'DOE25'!F10</f>
        <v>0</v>
      </c>
      <c r="D10" s="94">
        <f>'DOE25'!G10</f>
        <v>0</v>
      </c>
      <c r="E10" s="94">
        <f>'DOE25'!H10</f>
        <v>0</v>
      </c>
      <c r="F10" s="94">
        <f>'DOE25'!I10</f>
        <v>0</v>
      </c>
      <c r="G10" s="94">
        <f>'DOE25'!J10</f>
        <v>128790.27</v>
      </c>
      <c r="H10" s="123"/>
      <c r="I10" s="123"/>
    </row>
    <row r="11" spans="1:9" x14ac:dyDescent="0.2">
      <c r="A11" s="1" t="s">
        <v>154</v>
      </c>
      <c r="B11" s="6">
        <v>120</v>
      </c>
      <c r="C11" s="94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3"/>
      <c r="I11" s="123"/>
    </row>
    <row r="12" spans="1:9" x14ac:dyDescent="0.2">
      <c r="A12" s="1" t="s">
        <v>155</v>
      </c>
      <c r="B12" s="6">
        <v>130</v>
      </c>
      <c r="C12" s="94">
        <f>'DOE25'!F12</f>
        <v>94423.49</v>
      </c>
      <c r="D12" s="94">
        <f>'DOE25'!G12</f>
        <v>12164.16</v>
      </c>
      <c r="E12" s="94">
        <f>'DOE25'!H12</f>
        <v>0</v>
      </c>
      <c r="F12" s="94">
        <f>'DOE25'!I12</f>
        <v>0</v>
      </c>
      <c r="G12" s="94">
        <f>'DOE25'!J12</f>
        <v>0</v>
      </c>
      <c r="H12" s="123"/>
      <c r="I12" s="123"/>
    </row>
    <row r="13" spans="1:9" x14ac:dyDescent="0.2">
      <c r="A13" s="1" t="s">
        <v>156</v>
      </c>
      <c r="B13" s="6">
        <v>140</v>
      </c>
      <c r="C13" s="94">
        <f>'DOE25'!F13</f>
        <v>525.42999999999995</v>
      </c>
      <c r="D13" s="94">
        <f>'DOE25'!G13</f>
        <v>0</v>
      </c>
      <c r="E13" s="94">
        <f>'DOE25'!H13</f>
        <v>56953.4</v>
      </c>
      <c r="F13" s="94">
        <f>'DOE25'!I13</f>
        <v>0</v>
      </c>
      <c r="G13" s="94">
        <f>'DOE25'!J13</f>
        <v>0</v>
      </c>
      <c r="H13" s="123"/>
      <c r="I13" s="123"/>
    </row>
    <row r="14" spans="1:9" x14ac:dyDescent="0.2">
      <c r="A14" s="1" t="s">
        <v>157</v>
      </c>
      <c r="B14" s="6">
        <v>150</v>
      </c>
      <c r="C14" s="94">
        <f>'DOE25'!F14</f>
        <v>0</v>
      </c>
      <c r="D14" s="94">
        <f>'DOE25'!G14</f>
        <v>35330.9</v>
      </c>
      <c r="E14" s="94">
        <f>'DOE25'!H14</f>
        <v>0</v>
      </c>
      <c r="F14" s="94">
        <f>'DOE25'!I14</f>
        <v>0</v>
      </c>
      <c r="G14" s="94">
        <f>'DOE25'!J14</f>
        <v>0</v>
      </c>
      <c r="H14" s="123"/>
      <c r="I14" s="123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4">
        <f>'DOE25'!I15</f>
        <v>0</v>
      </c>
      <c r="G15" s="24" t="s">
        <v>312</v>
      </c>
      <c r="H15" s="123"/>
      <c r="I15" s="123"/>
    </row>
    <row r="16" spans="1:9" x14ac:dyDescent="0.2">
      <c r="A16" s="1" t="s">
        <v>159</v>
      </c>
      <c r="B16" s="6">
        <v>170</v>
      </c>
      <c r="C16" s="94">
        <f>'DOE25'!F16</f>
        <v>0</v>
      </c>
      <c r="D16" s="94">
        <f>'DOE25'!G16</f>
        <v>0</v>
      </c>
      <c r="E16" s="94">
        <f>'DOE25'!H16</f>
        <v>0</v>
      </c>
      <c r="F16" s="94">
        <f>'DOE25'!I16</f>
        <v>0</v>
      </c>
      <c r="G16" s="24" t="s">
        <v>312</v>
      </c>
      <c r="H16" s="123"/>
      <c r="I16" s="123"/>
    </row>
    <row r="17" spans="1:9" x14ac:dyDescent="0.2">
      <c r="A17" s="1" t="s">
        <v>160</v>
      </c>
      <c r="B17" s="6">
        <v>180</v>
      </c>
      <c r="C17" s="94">
        <f>'DOE25'!F17</f>
        <v>0</v>
      </c>
      <c r="D17" s="94">
        <f>'DOE25'!G17</f>
        <v>0</v>
      </c>
      <c r="E17" s="94">
        <f>'DOE25'!H17</f>
        <v>0</v>
      </c>
      <c r="F17" s="94">
        <f>'DOE25'!I17</f>
        <v>0</v>
      </c>
      <c r="G17" s="94">
        <f>'DOE25'!J17</f>
        <v>0</v>
      </c>
      <c r="H17" s="123"/>
      <c r="I17" s="123"/>
    </row>
    <row r="18" spans="1:9" ht="12" thickBot="1" x14ac:dyDescent="0.25">
      <c r="A18" s="1" t="s">
        <v>161</v>
      </c>
      <c r="B18" s="6">
        <v>190</v>
      </c>
      <c r="C18" s="94">
        <f>'DOE25'!F18</f>
        <v>0</v>
      </c>
      <c r="D18" s="94">
        <f>'DOE25'!G18</f>
        <v>0</v>
      </c>
      <c r="E18" s="94">
        <f>'DOE25'!H18</f>
        <v>0</v>
      </c>
      <c r="F18" s="94">
        <f>'DOE25'!I18</f>
        <v>0</v>
      </c>
      <c r="G18" s="94">
        <f>'DOE25'!J18</f>
        <v>0</v>
      </c>
      <c r="H18" s="123"/>
      <c r="I18" s="123"/>
    </row>
    <row r="19" spans="1:9" ht="12" thickTop="1" x14ac:dyDescent="0.2">
      <c r="A19" s="38" t="s">
        <v>162</v>
      </c>
      <c r="B19" s="39"/>
      <c r="C19" s="41">
        <f>SUM(C9:C18)</f>
        <v>1443161.45</v>
      </c>
      <c r="D19" s="41">
        <f>SUM(D9:D18)</f>
        <v>47495.06</v>
      </c>
      <c r="E19" s="41">
        <f>SUM(E9:E18)</f>
        <v>56953.4</v>
      </c>
      <c r="F19" s="41">
        <f>SUM(F9:F18)</f>
        <v>0</v>
      </c>
      <c r="G19" s="41">
        <f>SUM(G9:G18)</f>
        <v>128790.27</v>
      </c>
      <c r="H19" s="123"/>
      <c r="I19" s="123"/>
    </row>
    <row r="20" spans="1:9" x14ac:dyDescent="0.2">
      <c r="A20" s="1" t="s">
        <v>326</v>
      </c>
      <c r="B20" s="126"/>
      <c r="C20" s="13"/>
      <c r="D20" s="13"/>
      <c r="E20" s="13"/>
      <c r="F20" s="13"/>
      <c r="G20" s="13"/>
      <c r="H20" s="123"/>
      <c r="I20" s="123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3"/>
      <c r="I21" s="123"/>
    </row>
    <row r="22" spans="1:9" x14ac:dyDescent="0.2">
      <c r="A22" s="1" t="s">
        <v>163</v>
      </c>
      <c r="B22" s="6">
        <v>400</v>
      </c>
      <c r="C22" s="94">
        <f>'DOE25'!F23</f>
        <v>0</v>
      </c>
      <c r="D22" s="94">
        <f>'DOE25'!G23</f>
        <v>37969.42</v>
      </c>
      <c r="E22" s="94">
        <f>'DOE25'!H23</f>
        <v>56953.4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164</v>
      </c>
      <c r="B23" s="6">
        <v>410</v>
      </c>
      <c r="C23" s="94">
        <f>'DOE25'!F24</f>
        <v>0</v>
      </c>
      <c r="D23" s="94">
        <f>'DOE25'!G24</f>
        <v>0</v>
      </c>
      <c r="E23" s="94">
        <f>'DOE25'!H24</f>
        <v>0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165</v>
      </c>
      <c r="B24" s="6">
        <v>420</v>
      </c>
      <c r="C24" s="94">
        <f>'DOE25'!F25</f>
        <v>912376.96</v>
      </c>
      <c r="D24" s="94">
        <f>'DOE25'!G25</f>
        <v>9525.64</v>
      </c>
      <c r="E24" s="94">
        <f>'DOE25'!H25</f>
        <v>0</v>
      </c>
      <c r="F24" s="94">
        <f>'DOE25'!I25</f>
        <v>0</v>
      </c>
      <c r="G24" s="94">
        <f>'DOE25'!J25</f>
        <v>0</v>
      </c>
      <c r="H24" s="123"/>
      <c r="I24" s="123"/>
    </row>
    <row r="25" spans="1:9" x14ac:dyDescent="0.2">
      <c r="A25" s="1" t="s">
        <v>166</v>
      </c>
      <c r="B25" s="6">
        <v>430</v>
      </c>
      <c r="C25" s="94">
        <f>'DOE25'!F26</f>
        <v>0</v>
      </c>
      <c r="D25" s="94">
        <f>'DOE25'!G26</f>
        <v>0</v>
      </c>
      <c r="E25" s="94">
        <f>'DOE25'!H26</f>
        <v>0</v>
      </c>
      <c r="F25" s="94">
        <f>'DOE25'!I26</f>
        <v>0</v>
      </c>
      <c r="G25" s="24" t="s">
        <v>312</v>
      </c>
      <c r="H25" s="123"/>
      <c r="I25" s="123"/>
    </row>
    <row r="26" spans="1:9" x14ac:dyDescent="0.2">
      <c r="A26" s="1" t="s">
        <v>167</v>
      </c>
      <c r="B26" s="6">
        <v>440</v>
      </c>
      <c r="C26" s="94">
        <f>'DOE25'!F27</f>
        <v>0</v>
      </c>
      <c r="D26" s="24" t="s">
        <v>312</v>
      </c>
      <c r="E26" s="24" t="s">
        <v>312</v>
      </c>
      <c r="F26" s="94">
        <f>'DOE25'!I27</f>
        <v>0</v>
      </c>
      <c r="G26" s="24" t="s">
        <v>312</v>
      </c>
      <c r="H26" s="123"/>
      <c r="I26" s="123"/>
    </row>
    <row r="27" spans="1:9" x14ac:dyDescent="0.2">
      <c r="A27" s="1" t="s">
        <v>168</v>
      </c>
      <c r="B27" s="6">
        <v>450</v>
      </c>
      <c r="C27" s="94">
        <f>'DOE25'!F28</f>
        <v>0</v>
      </c>
      <c r="D27" s="24" t="s">
        <v>312</v>
      </c>
      <c r="E27" s="24" t="s">
        <v>312</v>
      </c>
      <c r="F27" s="94">
        <f>'DOE25'!I28</f>
        <v>0</v>
      </c>
      <c r="G27" s="24" t="s">
        <v>312</v>
      </c>
      <c r="H27" s="123"/>
      <c r="I27" s="123"/>
    </row>
    <row r="28" spans="1:9" x14ac:dyDescent="0.2">
      <c r="A28" s="1" t="s">
        <v>169</v>
      </c>
      <c r="B28" s="6">
        <v>460</v>
      </c>
      <c r="C28" s="94">
        <f>'DOE25'!F29</f>
        <v>0</v>
      </c>
      <c r="D28" s="94">
        <f>'DOE25'!G29</f>
        <v>0</v>
      </c>
      <c r="E28" s="94">
        <f>'DOE25'!H29</f>
        <v>0</v>
      </c>
      <c r="F28" s="94">
        <f>'DOE25'!I29</f>
        <v>0</v>
      </c>
      <c r="G28" s="24" t="s">
        <v>312</v>
      </c>
      <c r="H28" s="123"/>
      <c r="I28" s="123"/>
    </row>
    <row r="29" spans="1:9" x14ac:dyDescent="0.2">
      <c r="A29" s="1" t="s">
        <v>170</v>
      </c>
      <c r="B29" s="6">
        <v>470</v>
      </c>
      <c r="C29" s="94">
        <f>'DOE25'!F30</f>
        <v>11311.800000000001</v>
      </c>
      <c r="D29" s="94">
        <f>'DOE25'!G30</f>
        <v>0</v>
      </c>
      <c r="E29" s="94">
        <f>'DOE25'!H30</f>
        <v>0</v>
      </c>
      <c r="F29" s="94">
        <f>'DOE25'!I30</f>
        <v>0</v>
      </c>
      <c r="G29" s="24" t="s">
        <v>312</v>
      </c>
      <c r="H29" s="123"/>
      <c r="I29" s="123"/>
    </row>
    <row r="30" spans="1:9" x14ac:dyDescent="0.2">
      <c r="A30" s="1" t="s">
        <v>171</v>
      </c>
      <c r="B30" s="6">
        <v>480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24" t="s">
        <v>312</v>
      </c>
      <c r="H30" s="123"/>
      <c r="I30" s="123"/>
    </row>
    <row r="31" spans="1:9" ht="12" thickBot="1" x14ac:dyDescent="0.25">
      <c r="A31" s="1" t="s">
        <v>172</v>
      </c>
      <c r="B31" s="70">
        <v>490</v>
      </c>
      <c r="C31" s="94">
        <f>'DOE25'!F32</f>
        <v>0</v>
      </c>
      <c r="D31" s="94">
        <f>'DOE25'!G32</f>
        <v>0</v>
      </c>
      <c r="E31" s="94">
        <f>'DOE25'!H32</f>
        <v>0</v>
      </c>
      <c r="F31" s="94">
        <f>'DOE25'!I32</f>
        <v>0</v>
      </c>
      <c r="G31" s="94">
        <f>'DOE25'!J32</f>
        <v>0</v>
      </c>
      <c r="H31" s="123"/>
      <c r="I31" s="123"/>
    </row>
    <row r="32" spans="1:9" ht="12" thickTop="1" x14ac:dyDescent="0.2">
      <c r="A32" s="38" t="s">
        <v>173</v>
      </c>
      <c r="B32" s="2"/>
      <c r="C32" s="41">
        <f>SUM(C22:C31)</f>
        <v>923688.76</v>
      </c>
      <c r="D32" s="41">
        <f>SUM(D22:D31)</f>
        <v>47495.06</v>
      </c>
      <c r="E32" s="41">
        <f>SUM(E22:E31)</f>
        <v>56953.4</v>
      </c>
      <c r="F32" s="41">
        <f>SUM(F22:F31)</f>
        <v>0</v>
      </c>
      <c r="G32" s="41">
        <f>SUM(G22:G31)</f>
        <v>0</v>
      </c>
      <c r="H32" s="123"/>
      <c r="I32" s="123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3"/>
      <c r="I33" s="123"/>
    </row>
    <row r="34" spans="1:9" x14ac:dyDescent="0.2">
      <c r="A34" s="1" t="s">
        <v>174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312</v>
      </c>
      <c r="H34" s="123"/>
      <c r="I34" s="123"/>
    </row>
    <row r="35" spans="1:9" x14ac:dyDescent="0.2">
      <c r="A35" s="1" t="s">
        <v>175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312</v>
      </c>
      <c r="H35" s="123"/>
      <c r="I35" s="123"/>
    </row>
    <row r="36" spans="1:9" x14ac:dyDescent="0.2">
      <c r="A36" s="1" t="s">
        <v>176</v>
      </c>
      <c r="B36" s="6">
        <v>753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1" t="s">
        <v>177</v>
      </c>
      <c r="B37" s="6">
        <v>754</v>
      </c>
      <c r="C37" s="94">
        <f>'DOE25'!F38</f>
        <v>0</v>
      </c>
      <c r="D37" s="94">
        <f>'DOE25'!G38</f>
        <v>0</v>
      </c>
      <c r="E37" s="94">
        <f>'DOE25'!H38</f>
        <v>0</v>
      </c>
      <c r="F37" s="94">
        <f>'DOE25'!I38</f>
        <v>0</v>
      </c>
      <c r="G37" s="94">
        <f>'DOE25'!J38</f>
        <v>0</v>
      </c>
      <c r="H37" s="123"/>
      <c r="I37" s="123"/>
    </row>
    <row r="38" spans="1:9" x14ac:dyDescent="0.2">
      <c r="A38" s="1" t="s">
        <v>178</v>
      </c>
      <c r="B38" s="6">
        <v>755</v>
      </c>
      <c r="C38" s="94">
        <f>'DOE25'!F39</f>
        <v>92000</v>
      </c>
      <c r="D38" s="94">
        <f>'DOE25'!G39</f>
        <v>0</v>
      </c>
      <c r="E38" s="94">
        <f>'DOE25'!H39</f>
        <v>0</v>
      </c>
      <c r="F38" s="94">
        <f>'DOE25'!I39</f>
        <v>0</v>
      </c>
      <c r="G38" s="24" t="s">
        <v>312</v>
      </c>
      <c r="H38" s="123"/>
      <c r="I38" s="123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4">
        <f>'DOE25'!J40</f>
        <v>0</v>
      </c>
      <c r="H39" s="123"/>
      <c r="I39" s="123"/>
    </row>
    <row r="40" spans="1:9" x14ac:dyDescent="0.2">
      <c r="A40" s="1" t="s">
        <v>180</v>
      </c>
      <c r="B40" s="6">
        <v>760</v>
      </c>
      <c r="C40" s="94">
        <f>'DOE25'!F41</f>
        <v>0</v>
      </c>
      <c r="D40" s="94">
        <f>'DOE25'!G41</f>
        <v>0</v>
      </c>
      <c r="E40" s="94">
        <f>'DOE25'!H41</f>
        <v>0</v>
      </c>
      <c r="F40" s="94">
        <f>'DOE25'!I41</f>
        <v>0</v>
      </c>
      <c r="G40" s="94">
        <f>'DOE25'!J41</f>
        <v>128790.27</v>
      </c>
      <c r="H40" s="123"/>
      <c r="I40" s="123"/>
    </row>
    <row r="41" spans="1:9" ht="12" thickBot="1" x14ac:dyDescent="0.25">
      <c r="A41" s="1" t="s">
        <v>181</v>
      </c>
      <c r="B41" s="70">
        <v>770</v>
      </c>
      <c r="C41" s="94">
        <f>'DOE25'!F42</f>
        <v>427472.69</v>
      </c>
      <c r="D41" s="94" t="str">
        <f>'DOE25'!G42</f>
        <v>............</v>
      </c>
      <c r="E41" s="94" t="str">
        <f>'DOE25'!H42</f>
        <v>............</v>
      </c>
      <c r="F41" s="94" t="str">
        <f>'DOE25'!I42</f>
        <v>............</v>
      </c>
      <c r="G41" s="24" t="s">
        <v>312</v>
      </c>
      <c r="H41" s="123"/>
      <c r="I41" s="123"/>
    </row>
    <row r="42" spans="1:9" ht="12.75" thickTop="1" thickBot="1" x14ac:dyDescent="0.25">
      <c r="A42" s="38" t="s">
        <v>182</v>
      </c>
      <c r="B42" s="48"/>
      <c r="C42" s="41">
        <f>SUM(C34:C41)</f>
        <v>519472.69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128790.27</v>
      </c>
      <c r="H42" s="123"/>
      <c r="I42" s="123"/>
    </row>
    <row r="43" spans="1:9" ht="12" thickTop="1" x14ac:dyDescent="0.2">
      <c r="A43" s="38" t="s">
        <v>183</v>
      </c>
      <c r="B43" s="2"/>
      <c r="C43" s="41">
        <f>C42+C32</f>
        <v>1443161.45</v>
      </c>
      <c r="D43" s="41">
        <f>D42+D32</f>
        <v>47495.06</v>
      </c>
      <c r="E43" s="41">
        <f>E42+E32</f>
        <v>56953.4</v>
      </c>
      <c r="F43" s="41">
        <f>F42+F32</f>
        <v>0</v>
      </c>
      <c r="G43" s="41">
        <f>G42+G32</f>
        <v>128790.27</v>
      </c>
      <c r="H43" s="123"/>
      <c r="I43" s="123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6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7" t="s">
        <v>184</v>
      </c>
      <c r="B47" s="126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4">
        <f>'DOE25'!F52</f>
        <v>4688705</v>
      </c>
      <c r="D48" s="94">
        <f>'DOE25'!G52</f>
        <v>0</v>
      </c>
      <c r="E48" s="94">
        <f>'DOE25'!H52</f>
        <v>0</v>
      </c>
      <c r="F48" s="94">
        <f>'DOE25'!I52</f>
        <v>0</v>
      </c>
      <c r="G48" s="94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4">
        <f>'DOE25'!F71</f>
        <v>150</v>
      </c>
      <c r="D49" s="24" t="s">
        <v>312</v>
      </c>
      <c r="E49" s="94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4">
        <f>'DOE25'!F86</f>
        <v>3747.47</v>
      </c>
      <c r="D50" s="24" t="s">
        <v>312</v>
      </c>
      <c r="E50" s="94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8" t="s">
        <v>191</v>
      </c>
      <c r="B51" s="37" t="s">
        <v>192</v>
      </c>
      <c r="C51" s="94">
        <f>'DOE25'!F88</f>
        <v>1744.42</v>
      </c>
      <c r="D51" s="94">
        <f>'DOE25'!G88</f>
        <v>0</v>
      </c>
      <c r="E51" s="94">
        <f>'DOE25'!H88</f>
        <v>0</v>
      </c>
      <c r="F51" s="94">
        <f>'DOE25'!I88</f>
        <v>0</v>
      </c>
      <c r="G51" s="94">
        <f>'DOE25'!J88</f>
        <v>3365.48</v>
      </c>
      <c r="H51"/>
      <c r="I51"/>
    </row>
    <row r="52" spans="1:9" x14ac:dyDescent="0.2">
      <c r="A52" s="1" t="s">
        <v>193</v>
      </c>
      <c r="B52" s="117" t="s">
        <v>194</v>
      </c>
      <c r="C52" s="24" t="s">
        <v>312</v>
      </c>
      <c r="D52" s="94">
        <f>'DOE25'!G89</f>
        <v>62557.89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7" t="s">
        <v>196</v>
      </c>
      <c r="C53" s="94">
        <f>SUM('DOE25'!F90:F102)</f>
        <v>0</v>
      </c>
      <c r="D53" s="94">
        <f>SUM('DOE25'!G90:G102)</f>
        <v>0</v>
      </c>
      <c r="E53" s="94">
        <f>SUM('DOE25'!H90:H102)</f>
        <v>0</v>
      </c>
      <c r="F53" s="94">
        <f>SUM('DOE25'!I90:I102)</f>
        <v>0</v>
      </c>
      <c r="G53" s="94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29">
        <f>SUM(C49:C53)</f>
        <v>5641.8899999999994</v>
      </c>
      <c r="D54" s="129">
        <f>SUM(D49:D53)</f>
        <v>62557.89</v>
      </c>
      <c r="E54" s="129">
        <f>SUM(E49:E53)</f>
        <v>0</v>
      </c>
      <c r="F54" s="129">
        <f>SUM(F49:F53)</f>
        <v>0</v>
      </c>
      <c r="G54" s="129">
        <f>SUM(G49:G53)</f>
        <v>3365.48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4694346.8899999997</v>
      </c>
      <c r="D55" s="22">
        <f>D48+D54</f>
        <v>62557.89</v>
      </c>
      <c r="E55" s="22">
        <f>E48+E54</f>
        <v>0</v>
      </c>
      <c r="F55" s="22">
        <f>F48+F54</f>
        <v>0</v>
      </c>
      <c r="G55" s="22">
        <f>G48+G54</f>
        <v>3365.48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4">
        <f>'DOE25'!F109</f>
        <v>1397497.17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4">
        <f>'DOE25'!F110</f>
        <v>2187894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4">
        <f>'DOE25'!F111</f>
        <v>50686.83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4">
        <f>'DOE25'!F112</f>
        <v>0</v>
      </c>
      <c r="D61" s="94">
        <f>'DOE25'!G112</f>
        <v>0</v>
      </c>
      <c r="E61" s="94">
        <f>'DOE25'!H112</f>
        <v>0</v>
      </c>
      <c r="F61" s="94">
        <f>'DOE25'!I112</f>
        <v>0</v>
      </c>
      <c r="G61" s="94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8">
        <f>SUM(C58:C61)</f>
        <v>3636078</v>
      </c>
      <c r="D62" s="138">
        <f>D61</f>
        <v>0</v>
      </c>
      <c r="E62" s="138">
        <f>E61</f>
        <v>0</v>
      </c>
      <c r="F62" s="138">
        <f>F61</f>
        <v>0</v>
      </c>
      <c r="G62" s="138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4">
        <f>'DOE25'!F115</f>
        <v>53340.88</v>
      </c>
      <c r="D64" s="24" t="s">
        <v>312</v>
      </c>
      <c r="E64" s="24" t="s">
        <v>312</v>
      </c>
      <c r="F64" s="94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4">
        <f>'DOE25'!F116</f>
        <v>0</v>
      </c>
      <c r="D65" s="24" t="s">
        <v>312</v>
      </c>
      <c r="E65" s="24" t="s">
        <v>312</v>
      </c>
      <c r="F65" s="94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4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4">
        <f>'DOE25'!F118</f>
        <v>28363.29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4">
        <f>SUM('DOE25'!F119:F122)</f>
        <v>0</v>
      </c>
      <c r="D68" s="24" t="s">
        <v>312</v>
      </c>
      <c r="E68" s="94">
        <f>SUM('DOE25'!H119:H122)</f>
        <v>0</v>
      </c>
      <c r="F68" s="94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4">
        <f>SUM('DOE25'!F123:F127)</f>
        <v>0</v>
      </c>
      <c r="D69" s="94">
        <f>SUM('DOE25'!G123:G127)</f>
        <v>2241.98</v>
      </c>
      <c r="E69" s="94">
        <f>SUM('DOE25'!H123:H127)</f>
        <v>0</v>
      </c>
      <c r="F69" s="94">
        <f>SUM('DOE25'!I123:I127)</f>
        <v>0</v>
      </c>
      <c r="G69" s="94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29">
        <f>SUM(C64:C69)</f>
        <v>81704.17</v>
      </c>
      <c r="D70" s="129">
        <f>SUM(D64:D69)</f>
        <v>2241.98</v>
      </c>
      <c r="E70" s="129">
        <f>SUM(E64:E69)</f>
        <v>0</v>
      </c>
      <c r="F70" s="129">
        <f>SUM(F64:F69)</f>
        <v>0</v>
      </c>
      <c r="G70" s="129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4">
        <f>'DOE25'!F129</f>
        <v>0</v>
      </c>
      <c r="D71" s="94">
        <f>'DOE25'!G129</f>
        <v>0</v>
      </c>
      <c r="E71" s="94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4">
        <f>'DOE25'!F130</f>
        <v>0</v>
      </c>
      <c r="D72" s="24" t="s">
        <v>312</v>
      </c>
      <c r="E72" s="94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29">
        <f>SUM(C71:C72)+C70+C62</f>
        <v>3717782.17</v>
      </c>
      <c r="D73" s="129">
        <f>SUM(D71:D72)+D70+D62</f>
        <v>2241.98</v>
      </c>
      <c r="E73" s="129">
        <f>SUM(E71:E72)+E70+E62</f>
        <v>0</v>
      </c>
      <c r="F73" s="129">
        <f>SUM(F71:F72)+F70+F62</f>
        <v>0</v>
      </c>
      <c r="G73" s="129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6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7" t="s">
        <v>204</v>
      </c>
      <c r="B76" s="126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4">
        <f>'DOE25'!F139</f>
        <v>0</v>
      </c>
      <c r="D77" s="94">
        <f>'DOE25'!G139</f>
        <v>0</v>
      </c>
      <c r="E77" s="94">
        <f>'DOE25'!H139</f>
        <v>0</v>
      </c>
      <c r="F77" s="94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4">
        <f>SUM('DOE25'!F141:F144)</f>
        <v>0</v>
      </c>
      <c r="D79" s="24" t="s">
        <v>312</v>
      </c>
      <c r="E79" s="94">
        <f>SUM('DOE25'!H141:H144)</f>
        <v>0</v>
      </c>
      <c r="F79" s="94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4">
        <f>SUM('DOE25'!F145:F153)</f>
        <v>55497.39</v>
      </c>
      <c r="D80" s="94">
        <f>SUM('DOE25'!G145:G153)</f>
        <v>88568.17</v>
      </c>
      <c r="E80" s="94">
        <f>SUM('DOE25'!H145:H153)</f>
        <v>482984.14</v>
      </c>
      <c r="F80" s="94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4">
        <f>'DOE25'!F155+'DOE25'!F158+'DOE25'!F160</f>
        <v>0</v>
      </c>
      <c r="D81" s="94">
        <f>'DOE25'!G155+'DOE25'!G160</f>
        <v>0</v>
      </c>
      <c r="E81" s="94">
        <f>'DOE25'!H155+'DOE25'!H160</f>
        <v>0</v>
      </c>
      <c r="F81" s="94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4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0">
        <f>SUM(C77:C82)</f>
        <v>55497.39</v>
      </c>
      <c r="D83" s="130">
        <f>SUM(D77:D82)</f>
        <v>88568.17</v>
      </c>
      <c r="E83" s="130">
        <f>SUM(E77:E82)</f>
        <v>482984.14</v>
      </c>
      <c r="F83" s="130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4">
        <f>SUM('DOE25'!F165:F167)</f>
        <v>0</v>
      </c>
      <c r="D85" s="24" t="s">
        <v>312</v>
      </c>
      <c r="E85" s="24" t="s">
        <v>312</v>
      </c>
      <c r="F85" s="94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4">
        <f>'DOE25'!F168</f>
        <v>0</v>
      </c>
      <c r="D86" s="24" t="s">
        <v>312</v>
      </c>
      <c r="E86" s="24" t="s">
        <v>312</v>
      </c>
      <c r="F86" s="94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4">
        <f>'DOE25'!G171</f>
        <v>80067.350000000006</v>
      </c>
      <c r="E88" s="94">
        <f>'DOE25'!H171</f>
        <v>0</v>
      </c>
      <c r="F88" s="94">
        <f>'DOE25'!I171</f>
        <v>0</v>
      </c>
      <c r="G88" s="94">
        <f>'DOE25'!J171</f>
        <v>50000</v>
      </c>
    </row>
    <row r="89" spans="1:7" x14ac:dyDescent="0.2">
      <c r="A89" t="s">
        <v>789</v>
      </c>
      <c r="B89" s="32" t="s">
        <v>211</v>
      </c>
      <c r="C89" s="94">
        <f>SUM('DOE25'!F172:F173)</f>
        <v>0</v>
      </c>
      <c r="D89" s="94">
        <f>SUM('DOE25'!G172:G173)</f>
        <v>0</v>
      </c>
      <c r="E89" s="94">
        <f>SUM('DOE25'!H172:H173)</f>
        <v>0</v>
      </c>
      <c r="F89" s="94">
        <f>SUM('DOE25'!I172:I173)</f>
        <v>0</v>
      </c>
      <c r="G89" s="94">
        <f>SUM('DOE25'!J172:J173)</f>
        <v>0</v>
      </c>
    </row>
    <row r="90" spans="1:7" x14ac:dyDescent="0.2">
      <c r="A90" t="s">
        <v>790</v>
      </c>
      <c r="B90" s="32" t="s">
        <v>212</v>
      </c>
      <c r="C90" s="94">
        <f>'DOE25'!F174</f>
        <v>0</v>
      </c>
      <c r="D90" s="94">
        <f>'DOE25'!G174</f>
        <v>0</v>
      </c>
      <c r="E90" s="94">
        <f>'DOE25'!H174</f>
        <v>0</v>
      </c>
      <c r="F90" s="24" t="s">
        <v>312</v>
      </c>
      <c r="G90" s="94">
        <f>'DOE25'!J174</f>
        <v>0</v>
      </c>
    </row>
    <row r="91" spans="1:7" x14ac:dyDescent="0.2">
      <c r="A91" t="s">
        <v>791</v>
      </c>
      <c r="B91" s="32">
        <v>5251</v>
      </c>
      <c r="C91" s="94">
        <f>'DOE25'!F177</f>
        <v>0</v>
      </c>
      <c r="D91" s="94">
        <f>'DOE25'!G177</f>
        <v>0</v>
      </c>
      <c r="E91" s="94">
        <f>'DOE25'!H177</f>
        <v>0</v>
      </c>
      <c r="F91" s="94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4">
        <f>SUM('DOE25'!F178:F179)</f>
        <v>0</v>
      </c>
      <c r="D92" s="94">
        <f>SUM('DOE25'!G178:G179)</f>
        <v>0</v>
      </c>
      <c r="E92" s="94">
        <f>SUM('DOE25'!H178:H179)</f>
        <v>0</v>
      </c>
      <c r="F92" s="94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4">
        <f>'DOE25'!F181</f>
        <v>0</v>
      </c>
      <c r="D93" s="94">
        <f>'DOE25'!G181</f>
        <v>0</v>
      </c>
      <c r="E93" s="94">
        <f>'DOE25'!H181</f>
        <v>0</v>
      </c>
      <c r="F93" s="94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4">
        <f>SUM('DOE25'!F182:F183)</f>
        <v>0</v>
      </c>
      <c r="D94" s="94">
        <f>SUM('DOE25'!G182:G183)</f>
        <v>0</v>
      </c>
      <c r="E94" s="94">
        <f>SUM('DOE25'!H182:H183)</f>
        <v>0</v>
      </c>
      <c r="F94" s="94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5">
        <f>SUM(C85:C94)</f>
        <v>0</v>
      </c>
      <c r="D95" s="85">
        <f>SUM(D85:D94)</f>
        <v>80067.350000000006</v>
      </c>
      <c r="E95" s="85">
        <f>SUM(E85:E94)</f>
        <v>0</v>
      </c>
      <c r="F95" s="85">
        <f>SUM(F85:F94)</f>
        <v>0</v>
      </c>
      <c r="G95" s="85">
        <f>SUM(G85:G94)</f>
        <v>50000</v>
      </c>
    </row>
    <row r="96" spans="1:7" ht="12.75" thickTop="1" thickBot="1" x14ac:dyDescent="0.25">
      <c r="A96" s="33" t="s">
        <v>796</v>
      </c>
      <c r="C96" s="85">
        <f>C55+C73+C83+C95</f>
        <v>8467626.4499999993</v>
      </c>
      <c r="D96" s="85">
        <f>D55+D73+D83+D95</f>
        <v>233435.39</v>
      </c>
      <c r="E96" s="85">
        <f>E55+E73+E83+E95</f>
        <v>482984.14</v>
      </c>
      <c r="F96" s="85">
        <f>F55+F73+F83+F95</f>
        <v>0</v>
      </c>
      <c r="G96" s="85">
        <f>G55+G73+G95</f>
        <v>53365.48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6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7" t="s">
        <v>218</v>
      </c>
      <c r="B100" s="126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4">
        <f>('DOE25'!L189)+('DOE25'!L207)+('DOE25'!L225)</f>
        <v>4381003.6500000004</v>
      </c>
      <c r="D101" s="24" t="s">
        <v>312</v>
      </c>
      <c r="E101" s="94">
        <f>('DOE25'!L268)+('DOE25'!L287)+('DOE25'!L306)</f>
        <v>359978.99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4">
        <f>('DOE25'!L190)+('DOE25'!L208)+('DOE25'!L226)</f>
        <v>1579385.0000000002</v>
      </c>
      <c r="D102" s="24" t="s">
        <v>312</v>
      </c>
      <c r="E102" s="94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4">
        <f>('DOE25'!L191)+('DOE25'!L209)+('DOE25'!L227)</f>
        <v>0</v>
      </c>
      <c r="D103" s="24" t="s">
        <v>312</v>
      </c>
      <c r="E103" s="94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4">
        <f>('DOE25'!L192)+('DOE25'!L210)+('DOE25'!L228)</f>
        <v>27996.379999999997</v>
      </c>
      <c r="D104" s="24" t="s">
        <v>312</v>
      </c>
      <c r="E104" s="94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4">
        <f>'DOE25'!L242</f>
        <v>0</v>
      </c>
      <c r="D105" s="24" t="s">
        <v>312</v>
      </c>
      <c r="E105" s="94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4">
        <f>SUM('DOE25'!L243:L245)</f>
        <v>0</v>
      </c>
      <c r="D106" s="24" t="s">
        <v>312</v>
      </c>
      <c r="E106" s="94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5">
        <f>SUM(C101:C106)</f>
        <v>5988385.0300000003</v>
      </c>
      <c r="D107" s="85">
        <f>SUM(D101:D106)</f>
        <v>0</v>
      </c>
      <c r="E107" s="85">
        <f>SUM(E101:E106)</f>
        <v>359978.99</v>
      </c>
      <c r="F107" s="85">
        <f>SUM(F101:F106)</f>
        <v>0</v>
      </c>
      <c r="G107" s="85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4">
        <f>('DOE25'!L194)+('DOE25'!L212)+('DOE25'!L230)</f>
        <v>276565.24000000005</v>
      </c>
      <c r="D110" s="24" t="s">
        <v>312</v>
      </c>
      <c r="E110" s="94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4">
        <f>('DOE25'!L195)+('DOE25'!L213)+('DOE25'!L231)</f>
        <v>98642.639999999985</v>
      </c>
      <c r="D111" s="24" t="s">
        <v>312</v>
      </c>
      <c r="E111" s="94">
        <f>+('DOE25'!L274)+('DOE25'!L293)+('DOE25'!L312)</f>
        <v>107177.37999999999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4">
        <f>('DOE25'!L196)+('DOE25'!L214)+('DOE25'!L232)</f>
        <v>499815.93000000005</v>
      </c>
      <c r="D112" s="24" t="s">
        <v>312</v>
      </c>
      <c r="E112" s="94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4">
        <f>('DOE25'!L197)+('DOE25'!L215)+('DOE25'!L233)</f>
        <v>291286.43000000005</v>
      </c>
      <c r="D113" s="24" t="s">
        <v>312</v>
      </c>
      <c r="E113" s="94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4">
        <f>('DOE25'!L198)+('DOE25'!L216)+('DOE25'!L234)</f>
        <v>0</v>
      </c>
      <c r="D114" s="24" t="s">
        <v>312</v>
      </c>
      <c r="E114" s="94">
        <f>+('DOE25'!L277)+('DOE25'!L296)+('DOE25'!L315)</f>
        <v>15827.77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4">
        <f>('DOE25'!L199)+('DOE25'!L217)+('DOE25'!L235)</f>
        <v>441941.81</v>
      </c>
      <c r="D115" s="24" t="s">
        <v>312</v>
      </c>
      <c r="E115" s="94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4">
        <f>('DOE25'!L200)+('DOE25'!L218)+('DOE25'!L236+'DOE25'!L246)</f>
        <v>518412.46</v>
      </c>
      <c r="D116" s="24" t="s">
        <v>312</v>
      </c>
      <c r="E116" s="94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4">
        <f>('DOE25'!L201)+('DOE25'!L219)+('DOE25'!L237)</f>
        <v>41778.679999999993</v>
      </c>
      <c r="D117" s="24" t="s">
        <v>312</v>
      </c>
      <c r="E117" s="94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4">
        <f>('DOE25'!L350)+('DOE25'!L351)+('DOE25'!L352)</f>
        <v>233435.38999999998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5">
        <f>SUM(C110:C119)</f>
        <v>2168443.1900000004</v>
      </c>
      <c r="D120" s="85">
        <f>SUM(D110:D119)</f>
        <v>233435.38999999998</v>
      </c>
      <c r="E120" s="85">
        <f>SUM(E110:E119)</f>
        <v>123005.15</v>
      </c>
      <c r="F120" s="85">
        <f>SUM(F110:F119)</f>
        <v>0</v>
      </c>
      <c r="G120" s="85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4">
        <f>'DOE25'!L247</f>
        <v>0</v>
      </c>
      <c r="D122" s="24" t="s">
        <v>312</v>
      </c>
      <c r="E122" s="128">
        <f>'DOE25'!L328</f>
        <v>0</v>
      </c>
      <c r="F122" s="128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4">
        <f>'DOE25'!L252</f>
        <v>160000</v>
      </c>
      <c r="D123" s="24" t="s">
        <v>312</v>
      </c>
      <c r="E123" s="128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4">
        <f>'DOE25'!L253</f>
        <v>20290</v>
      </c>
      <c r="D124" s="24" t="s">
        <v>312</v>
      </c>
      <c r="E124" s="128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4">
        <f>'DOE25'!K353</f>
        <v>0</v>
      </c>
      <c r="E126" s="94">
        <f>'DOE25'!L336</f>
        <v>0</v>
      </c>
      <c r="F126" s="94">
        <f>'DOE25'!K373</f>
        <v>0</v>
      </c>
      <c r="G126" s="94">
        <f>'DOE25'!K426</f>
        <v>0</v>
      </c>
    </row>
    <row r="127" spans="1:7" x14ac:dyDescent="0.2">
      <c r="A127" t="s">
        <v>256</v>
      </c>
      <c r="B127" s="32" t="s">
        <v>257</v>
      </c>
      <c r="C127" s="94">
        <f>'DOE25'!L255</f>
        <v>80067.350000000006</v>
      </c>
      <c r="D127" s="24" t="s">
        <v>312</v>
      </c>
      <c r="E127" s="128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4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4">
        <f>'DOE25'!L257</f>
        <v>0</v>
      </c>
      <c r="D129" s="24" t="s">
        <v>312</v>
      </c>
      <c r="E129" s="128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4">
        <f>'DOE25'!L385</f>
        <v>53365.479999999996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4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4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4">
        <f>('DOE25'!L258+'DOE25'!K339) - (C130+C131+C132)</f>
        <v>-3365.4799999999959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8">
        <f>'DOE25'!L260</f>
        <v>0</v>
      </c>
      <c r="D134" s="24" t="s">
        <v>312</v>
      </c>
      <c r="E134" s="128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8">
        <f>'DOE25'!L261</f>
        <v>0</v>
      </c>
      <c r="D135" s="24" t="s">
        <v>312</v>
      </c>
      <c r="E135" s="128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0">
        <f>SUM(C122:C135)</f>
        <v>310357.35000000003</v>
      </c>
      <c r="D136" s="140">
        <f>SUM(D122:D135)</f>
        <v>0</v>
      </c>
      <c r="E136" s="140">
        <f>SUM(E122:E135)</f>
        <v>0</v>
      </c>
      <c r="F136" s="140">
        <f>SUM(F122:F135)</f>
        <v>0</v>
      </c>
      <c r="G136" s="140">
        <f>SUM(G122:G135)</f>
        <v>0</v>
      </c>
    </row>
    <row r="137" spans="1:9" ht="12.75" thickTop="1" thickBot="1" x14ac:dyDescent="0.25">
      <c r="A137" s="33" t="s">
        <v>267</v>
      </c>
      <c r="C137" s="85">
        <f>(C107+C120+C136)</f>
        <v>8467185.5700000003</v>
      </c>
      <c r="D137" s="85">
        <f>(D107+D120+D136)</f>
        <v>233435.38999999998</v>
      </c>
      <c r="E137" s="85">
        <f>(E107+E120+E136)</f>
        <v>482984.14</v>
      </c>
      <c r="F137" s="85">
        <f>(F107+F120+F136)</f>
        <v>0</v>
      </c>
      <c r="G137" s="85">
        <f>(G107+G120+G136)</f>
        <v>0</v>
      </c>
    </row>
    <row r="138" spans="1:9" ht="12" thickTop="1" x14ac:dyDescent="0.2">
      <c r="A138" s="33"/>
    </row>
    <row r="140" spans="1:9" x14ac:dyDescent="0.2">
      <c r="A140" s="134" t="s">
        <v>268</v>
      </c>
      <c r="B140" s="131"/>
      <c r="C140" s="114"/>
      <c r="D140" s="115"/>
      <c r="E140" s="115"/>
      <c r="F140" s="115"/>
      <c r="G140" s="115"/>
      <c r="H140" s="115"/>
      <c r="I140" s="115"/>
    </row>
    <row r="141" spans="1:9" x14ac:dyDescent="0.2">
      <c r="A141" s="135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4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5" t="s">
        <v>27</v>
      </c>
      <c r="B143" s="151">
        <f>'DOE25'!F480</f>
        <v>15</v>
      </c>
      <c r="C143" s="151">
        <f>'DOE25'!G480</f>
        <v>15</v>
      </c>
      <c r="D143" s="151">
        <f>'DOE25'!H480</f>
        <v>0</v>
      </c>
      <c r="E143" s="151">
        <f>'DOE25'!I480</f>
        <v>0</v>
      </c>
      <c r="F143" s="151">
        <f>'DOE25'!J480</f>
        <v>0</v>
      </c>
      <c r="G143" s="24" t="s">
        <v>312</v>
      </c>
    </row>
    <row r="144" spans="1:9" x14ac:dyDescent="0.2">
      <c r="A144" s="135" t="s">
        <v>28</v>
      </c>
      <c r="B144" s="150" t="str">
        <f>'DOE25'!F481</f>
        <v xml:space="preserve">          02/98</v>
      </c>
      <c r="C144" s="150" t="str">
        <f>'DOE25'!G481</f>
        <v xml:space="preserve">          02/98</v>
      </c>
      <c r="D144" s="150">
        <f>'DOE25'!H481</f>
        <v>0</v>
      </c>
      <c r="E144" s="150">
        <f>'DOE25'!I481</f>
        <v>0</v>
      </c>
      <c r="F144" s="150">
        <f>'DOE25'!J481</f>
        <v>0</v>
      </c>
      <c r="G144" s="24" t="s">
        <v>312</v>
      </c>
    </row>
    <row r="145" spans="1:7" x14ac:dyDescent="0.2">
      <c r="A145" s="135" t="s">
        <v>29</v>
      </c>
      <c r="B145" s="150" t="str">
        <f>'DOE25'!F482</f>
        <v xml:space="preserve">          08/12</v>
      </c>
      <c r="C145" s="150" t="str">
        <f>'DOE25'!G482</f>
        <v xml:space="preserve">          08/12</v>
      </c>
      <c r="D145" s="150">
        <f>'DOE25'!H482</f>
        <v>0</v>
      </c>
      <c r="E145" s="150">
        <f>'DOE25'!I482</f>
        <v>0</v>
      </c>
      <c r="F145" s="150">
        <f>'DOE25'!J482</f>
        <v>0</v>
      </c>
      <c r="G145" s="24" t="s">
        <v>312</v>
      </c>
    </row>
    <row r="146" spans="1:7" x14ac:dyDescent="0.2">
      <c r="A146" s="135" t="s">
        <v>30</v>
      </c>
      <c r="B146" s="136">
        <f>'DOE25'!F483</f>
        <v>607562</v>
      </c>
      <c r="C146" s="136">
        <f>'DOE25'!G483</f>
        <v>1822684</v>
      </c>
      <c r="D146" s="136">
        <f>'DOE25'!H483</f>
        <v>0</v>
      </c>
      <c r="E146" s="136">
        <f>'DOE25'!I483</f>
        <v>0</v>
      </c>
      <c r="F146" s="136">
        <f>'DOE25'!J483</f>
        <v>0</v>
      </c>
      <c r="G146" s="24" t="s">
        <v>312</v>
      </c>
    </row>
    <row r="147" spans="1:7" x14ac:dyDescent="0.2">
      <c r="A147" s="135" t="s">
        <v>31</v>
      </c>
      <c r="B147" s="136">
        <f>'DOE25'!F484</f>
        <v>4.95</v>
      </c>
      <c r="C147" s="136">
        <f>'DOE25'!G484</f>
        <v>4.9000000000000004</v>
      </c>
      <c r="D147" s="136">
        <f>'DOE25'!H484</f>
        <v>0</v>
      </c>
      <c r="E147" s="136">
        <f>'DOE25'!I484</f>
        <v>0</v>
      </c>
      <c r="F147" s="136">
        <f>'DOE25'!J484</f>
        <v>0</v>
      </c>
      <c r="G147" s="24" t="s">
        <v>312</v>
      </c>
    </row>
    <row r="148" spans="1:7" x14ac:dyDescent="0.2">
      <c r="A148" s="22" t="s">
        <v>32</v>
      </c>
      <c r="B148" s="136">
        <f>'DOE25'!F485</f>
        <v>120000</v>
      </c>
      <c r="C148" s="136">
        <f>'DOE25'!G485</f>
        <v>360000</v>
      </c>
      <c r="D148" s="136">
        <f>'DOE25'!H485</f>
        <v>0</v>
      </c>
      <c r="E148" s="136">
        <f>'DOE25'!I485</f>
        <v>0</v>
      </c>
      <c r="F148" s="136">
        <f>'DOE25'!J485</f>
        <v>0</v>
      </c>
      <c r="G148" s="137">
        <f>SUM(B148:F148)</f>
        <v>480000</v>
      </c>
    </row>
    <row r="149" spans="1:7" x14ac:dyDescent="0.2">
      <c r="A149" s="22" t="s">
        <v>33</v>
      </c>
      <c r="B149" s="136">
        <f>'DOE25'!F486</f>
        <v>0</v>
      </c>
      <c r="C149" s="136">
        <f>'DOE25'!G486</f>
        <v>0</v>
      </c>
      <c r="D149" s="136">
        <f>'DOE25'!H486</f>
        <v>0</v>
      </c>
      <c r="E149" s="136">
        <f>'DOE25'!I486</f>
        <v>0</v>
      </c>
      <c r="F149" s="136">
        <f>'DOE25'!J486</f>
        <v>0</v>
      </c>
      <c r="G149" s="137">
        <f t="shared" ref="G149:G156" si="0">SUM(B149:F149)</f>
        <v>0</v>
      </c>
    </row>
    <row r="150" spans="1:7" x14ac:dyDescent="0.2">
      <c r="A150" s="22" t="s">
        <v>34</v>
      </c>
      <c r="B150" s="136">
        <f>'DOE25'!F487</f>
        <v>40000</v>
      </c>
      <c r="C150" s="136">
        <f>'DOE25'!G487</f>
        <v>120000</v>
      </c>
      <c r="D150" s="136">
        <f>'DOE25'!H487</f>
        <v>0</v>
      </c>
      <c r="E150" s="136">
        <f>'DOE25'!I487</f>
        <v>0</v>
      </c>
      <c r="F150" s="136">
        <f>'DOE25'!J487</f>
        <v>0</v>
      </c>
      <c r="G150" s="137">
        <f t="shared" si="0"/>
        <v>160000</v>
      </c>
    </row>
    <row r="151" spans="1:7" x14ac:dyDescent="0.2">
      <c r="A151" s="22" t="s">
        <v>35</v>
      </c>
      <c r="B151" s="136">
        <f>'DOE25'!F488</f>
        <v>80000</v>
      </c>
      <c r="C151" s="136">
        <f>'DOE25'!G488</f>
        <v>240000</v>
      </c>
      <c r="D151" s="136">
        <f>'DOE25'!H488</f>
        <v>0</v>
      </c>
      <c r="E151" s="136">
        <f>'DOE25'!I488</f>
        <v>0</v>
      </c>
      <c r="F151" s="136">
        <f>'DOE25'!J488</f>
        <v>0</v>
      </c>
      <c r="G151" s="137">
        <f t="shared" si="0"/>
        <v>320000</v>
      </c>
    </row>
    <row r="152" spans="1:7" x14ac:dyDescent="0.2">
      <c r="A152" s="22" t="s">
        <v>36</v>
      </c>
      <c r="B152" s="136">
        <f>'DOE25'!F489</f>
        <v>4110</v>
      </c>
      <c r="C152" s="136">
        <f>'DOE25'!G489</f>
        <v>12210</v>
      </c>
      <c r="D152" s="136">
        <f>'DOE25'!H489</f>
        <v>0</v>
      </c>
      <c r="E152" s="136">
        <f>'DOE25'!I489</f>
        <v>0</v>
      </c>
      <c r="F152" s="136">
        <f>'DOE25'!J489</f>
        <v>0</v>
      </c>
      <c r="G152" s="137">
        <f t="shared" si="0"/>
        <v>16320</v>
      </c>
    </row>
    <row r="153" spans="1:7" x14ac:dyDescent="0.2">
      <c r="A153" s="22" t="s">
        <v>37</v>
      </c>
      <c r="B153" s="136">
        <f>'DOE25'!F490</f>
        <v>84110</v>
      </c>
      <c r="C153" s="136">
        <f>'DOE25'!G490</f>
        <v>252210</v>
      </c>
      <c r="D153" s="136">
        <f>'DOE25'!H490</f>
        <v>0</v>
      </c>
      <c r="E153" s="136">
        <f>'DOE25'!I490</f>
        <v>0</v>
      </c>
      <c r="F153" s="136">
        <f>'DOE25'!J490</f>
        <v>0</v>
      </c>
      <c r="G153" s="137">
        <f t="shared" si="0"/>
        <v>336320</v>
      </c>
    </row>
    <row r="154" spans="1:7" x14ac:dyDescent="0.2">
      <c r="A154" s="22" t="s">
        <v>38</v>
      </c>
      <c r="B154" s="136">
        <f>'DOE25'!F491</f>
        <v>40000</v>
      </c>
      <c r="C154" s="136">
        <f>'DOE25'!G491</f>
        <v>120000</v>
      </c>
      <c r="D154" s="136">
        <f>'DOE25'!H491</f>
        <v>0</v>
      </c>
      <c r="E154" s="136">
        <f>'DOE25'!I491</f>
        <v>0</v>
      </c>
      <c r="F154" s="136">
        <f>'DOE25'!J491</f>
        <v>0</v>
      </c>
      <c r="G154" s="137">
        <f t="shared" si="0"/>
        <v>160000</v>
      </c>
    </row>
    <row r="155" spans="1:7" x14ac:dyDescent="0.2">
      <c r="A155" s="22" t="s">
        <v>39</v>
      </c>
      <c r="B155" s="136">
        <f>'DOE25'!F492</f>
        <v>3080</v>
      </c>
      <c r="C155" s="136">
        <f>'DOE25'!G492</f>
        <v>9150</v>
      </c>
      <c r="D155" s="136">
        <f>'DOE25'!H492</f>
        <v>0</v>
      </c>
      <c r="E155" s="136">
        <f>'DOE25'!I492</f>
        <v>0</v>
      </c>
      <c r="F155" s="136">
        <f>'DOE25'!J492</f>
        <v>0</v>
      </c>
      <c r="G155" s="137">
        <f t="shared" si="0"/>
        <v>12230</v>
      </c>
    </row>
    <row r="156" spans="1:7" x14ac:dyDescent="0.2">
      <c r="A156" s="22" t="s">
        <v>269</v>
      </c>
      <c r="B156" s="136">
        <f>'DOE25'!F493</f>
        <v>43080</v>
      </c>
      <c r="C156" s="136">
        <f>'DOE25'!G493</f>
        <v>129150</v>
      </c>
      <c r="D156" s="136">
        <f>'DOE25'!H493</f>
        <v>0</v>
      </c>
      <c r="E156" s="136">
        <f>'DOE25'!I493</f>
        <v>0</v>
      </c>
      <c r="F156" s="136">
        <f>'DOE25'!J493</f>
        <v>0</v>
      </c>
      <c r="G156" s="137">
        <f t="shared" si="0"/>
        <v>172230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7A25-E0A8-4C08-8757-681BBFBD5173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4" t="s">
        <v>771</v>
      </c>
      <c r="B1" s="274"/>
      <c r="C1" s="274"/>
      <c r="D1" s="274"/>
    </row>
    <row r="2" spans="1:4" x14ac:dyDescent="0.2">
      <c r="A2" s="183" t="s">
        <v>748</v>
      </c>
      <c r="B2" s="182" t="str">
        <f>'DOE25'!A2</f>
        <v>Wakefield SD</v>
      </c>
    </row>
    <row r="3" spans="1:4" x14ac:dyDescent="0.2">
      <c r="B3" s="184" t="s">
        <v>891</v>
      </c>
    </row>
    <row r="4" spans="1:4" x14ac:dyDescent="0.2">
      <c r="B4" t="s">
        <v>61</v>
      </c>
      <c r="C4" s="175">
        <f>IF('DOE25'!F655+'DOE25'!F660=0,0,ROUND('DOE25'!F662,0))</f>
        <v>12623</v>
      </c>
    </row>
    <row r="5" spans="1:4" x14ac:dyDescent="0.2">
      <c r="B5" t="s">
        <v>735</v>
      </c>
      <c r="C5" s="175">
        <f>IF('DOE25'!G655+'DOE25'!G660=0,0,ROUND('DOE25'!G662,0))</f>
        <v>0</v>
      </c>
    </row>
    <row r="6" spans="1:4" x14ac:dyDescent="0.2">
      <c r="B6" t="s">
        <v>62</v>
      </c>
      <c r="C6" s="175">
        <f>IF('DOE25'!H655+'DOE25'!H660=0,0,ROUND('DOE25'!H662,0))</f>
        <v>0</v>
      </c>
    </row>
    <row r="7" spans="1:4" x14ac:dyDescent="0.2">
      <c r="B7" t="s">
        <v>736</v>
      </c>
      <c r="C7" s="175">
        <f>IF('DOE25'!I655+'DOE25'!I660=0,0,ROUND('DOE25'!I662,0))</f>
        <v>12623</v>
      </c>
    </row>
    <row r="9" spans="1:4" x14ac:dyDescent="0.2">
      <c r="A9" s="183" t="s">
        <v>94</v>
      </c>
      <c r="B9" s="184" t="s">
        <v>892</v>
      </c>
      <c r="C9" s="177" t="s">
        <v>755</v>
      </c>
      <c r="D9" s="177" t="s">
        <v>756</v>
      </c>
    </row>
    <row r="10" spans="1:4" x14ac:dyDescent="0.2">
      <c r="A10">
        <v>1100</v>
      </c>
      <c r="B10" t="s">
        <v>737</v>
      </c>
      <c r="C10" s="175">
        <f>ROUND('DOE25'!L189+'DOE25'!L207+'DOE25'!L225+'DOE25'!L268+'DOE25'!L287+'DOE25'!L306,0)</f>
        <v>4740983</v>
      </c>
      <c r="D10" s="178">
        <f>ROUND((C10/$C$28)*100,1)</f>
        <v>53.7</v>
      </c>
    </row>
    <row r="11" spans="1:4" x14ac:dyDescent="0.2">
      <c r="A11">
        <v>1200</v>
      </c>
      <c r="B11" t="s">
        <v>738</v>
      </c>
      <c r="C11" s="175">
        <f>ROUND('DOE25'!L190+'DOE25'!L208+'DOE25'!L226+'DOE25'!L269+'DOE25'!L288+'DOE25'!L307,0)</f>
        <v>1579385</v>
      </c>
      <c r="D11" s="178">
        <f>ROUND((C11/$C$28)*100,1)</f>
        <v>17.899999999999999</v>
      </c>
    </row>
    <row r="12" spans="1:4" x14ac:dyDescent="0.2">
      <c r="A12">
        <v>1300</v>
      </c>
      <c r="B12" t="s">
        <v>739</v>
      </c>
      <c r="C12" s="175">
        <f>ROUND('DOE25'!L191+'DOE25'!L209+'DOE25'!L227+'DOE25'!L270+'DOE25'!L289+'DOE25'!L308,0)</f>
        <v>0</v>
      </c>
      <c r="D12" s="178">
        <f>ROUND((C12/$C$28)*100,1)</f>
        <v>0</v>
      </c>
    </row>
    <row r="13" spans="1:4" x14ac:dyDescent="0.2">
      <c r="A13">
        <v>1400</v>
      </c>
      <c r="B13" t="s">
        <v>740</v>
      </c>
      <c r="C13" s="175">
        <f>ROUND('DOE25'!L192+'DOE25'!L210+'DOE25'!L228+'DOE25'!L271+'DOE25'!L290+'DOE25'!L309,0)</f>
        <v>27996</v>
      </c>
      <c r="D13" s="178">
        <f>ROUND((C13/$C$28)*100,1)</f>
        <v>0.3</v>
      </c>
    </row>
    <row r="14" spans="1:4" x14ac:dyDescent="0.2">
      <c r="D14" s="178"/>
    </row>
    <row r="15" spans="1:4" x14ac:dyDescent="0.2">
      <c r="A15">
        <v>2100</v>
      </c>
      <c r="B15" t="s">
        <v>741</v>
      </c>
      <c r="C15" s="175">
        <f>ROUND('DOE25'!L194+'DOE25'!L212+'DOE25'!L230+'DOE25'!L273+'DOE25'!L292+'DOE25'!L311,0)</f>
        <v>276565</v>
      </c>
      <c r="D15" s="178">
        <f t="shared" ref="D15:D27" si="0">ROUND((C15/$C$28)*100,1)</f>
        <v>3.1</v>
      </c>
    </row>
    <row r="16" spans="1:4" x14ac:dyDescent="0.2">
      <c r="A16">
        <v>2200</v>
      </c>
      <c r="B16" t="s">
        <v>742</v>
      </c>
      <c r="C16" s="175">
        <f>ROUND('DOE25'!L195+'DOE25'!L213+'DOE25'!L231+'DOE25'!L274+'DOE25'!L293+'DOE25'!L312,0)</f>
        <v>205820</v>
      </c>
      <c r="D16" s="178">
        <f t="shared" si="0"/>
        <v>2.2999999999999998</v>
      </c>
    </row>
    <row r="17" spans="1:4" x14ac:dyDescent="0.2">
      <c r="A17" s="179" t="s">
        <v>758</v>
      </c>
      <c r="B17" t="s">
        <v>773</v>
      </c>
      <c r="C17" s="175">
        <f>ROUND('DOE25'!L196+'DOE25'!L201+'DOE25'!L214+'DOE25'!L219+'DOE25'!L232+'DOE25'!L237+'DOE25'!L275+'DOE25'!L280+'DOE25'!L294+'DOE25'!L299+'DOE25'!L313+'DOE25'!L318,0)</f>
        <v>541595</v>
      </c>
      <c r="D17" s="178">
        <f t="shared" si="0"/>
        <v>6.1</v>
      </c>
    </row>
    <row r="18" spans="1:4" x14ac:dyDescent="0.2">
      <c r="A18">
        <v>2400</v>
      </c>
      <c r="B18" t="s">
        <v>746</v>
      </c>
      <c r="C18" s="175">
        <f>ROUND('DOE25'!L197+'DOE25'!L215+'DOE25'!L233+'DOE25'!L276+'DOE25'!L295+'DOE25'!L314,0)</f>
        <v>291286</v>
      </c>
      <c r="D18" s="178">
        <f t="shared" si="0"/>
        <v>3.3</v>
      </c>
    </row>
    <row r="19" spans="1:4" x14ac:dyDescent="0.2">
      <c r="A19">
        <v>2500</v>
      </c>
      <c r="B19" t="s">
        <v>743</v>
      </c>
      <c r="C19" s="175">
        <f>ROUND('DOE25'!L198+'DOE25'!L216+'DOE25'!L234+'DOE25'!L277+'DOE25'!L296+'DOE25'!L315,0)</f>
        <v>15828</v>
      </c>
      <c r="D19" s="178">
        <f t="shared" si="0"/>
        <v>0.2</v>
      </c>
    </row>
    <row r="20" spans="1:4" x14ac:dyDescent="0.2">
      <c r="A20">
        <v>2600</v>
      </c>
      <c r="B20" t="s">
        <v>744</v>
      </c>
      <c r="C20" s="175">
        <f>ROUND('DOE25'!L199+'DOE25'!L217+'DOE25'!L235+'DOE25'!L278+'DOE25'!L297+'DOE25'!L316,0)</f>
        <v>441942</v>
      </c>
      <c r="D20" s="178">
        <f t="shared" si="0"/>
        <v>5</v>
      </c>
    </row>
    <row r="21" spans="1:4" x14ac:dyDescent="0.2">
      <c r="A21">
        <v>2700</v>
      </c>
      <c r="B21" t="s">
        <v>745</v>
      </c>
      <c r="C21" s="175">
        <f>ROUND('DOE25'!L200+'DOE25'!L218+'DOE25'!L236+'DOE25'!L279+'DOE25'!L298+'DOE25'!L317,0)</f>
        <v>518412</v>
      </c>
      <c r="D21" s="178">
        <f t="shared" si="0"/>
        <v>5.9</v>
      </c>
    </row>
    <row r="22" spans="1:4" x14ac:dyDescent="0.2">
      <c r="A22">
        <v>2900</v>
      </c>
      <c r="B22" t="s">
        <v>747</v>
      </c>
      <c r="C22" s="175">
        <v>0</v>
      </c>
      <c r="D22" s="178">
        <f t="shared" si="0"/>
        <v>0</v>
      </c>
    </row>
    <row r="23" spans="1:4" x14ac:dyDescent="0.2">
      <c r="A23">
        <v>1500</v>
      </c>
      <c r="B23" t="s">
        <v>749</v>
      </c>
      <c r="C23" s="175">
        <f>ROUND('DOE25'!L242+'DOE25'!L324,0)</f>
        <v>0</v>
      </c>
      <c r="D23" s="178">
        <f t="shared" si="0"/>
        <v>0</v>
      </c>
    </row>
    <row r="24" spans="1:4" x14ac:dyDescent="0.2">
      <c r="A24" s="179" t="s">
        <v>757</v>
      </c>
      <c r="B24" t="s">
        <v>750</v>
      </c>
      <c r="C24" s="175">
        <f>ROUND('DOE25'!L243+'DOE25'!L244+'DOE25'!L245+'DOE25'!L246+'DOE25'!L325+'DOE25'!L326+'DOE25'!L327,0)</f>
        <v>0</v>
      </c>
      <c r="D24" s="178">
        <f t="shared" si="0"/>
        <v>0</v>
      </c>
    </row>
    <row r="25" spans="1:4" x14ac:dyDescent="0.2">
      <c r="A25">
        <v>5120</v>
      </c>
      <c r="B25" t="s">
        <v>751</v>
      </c>
      <c r="C25" s="175">
        <f>ROUND('DOE25'!L253+'DOE25'!L334,0)</f>
        <v>20290</v>
      </c>
      <c r="D25" s="178">
        <f t="shared" si="0"/>
        <v>0.2</v>
      </c>
    </row>
    <row r="26" spans="1:4" x14ac:dyDescent="0.2">
      <c r="A26" s="179" t="s">
        <v>752</v>
      </c>
      <c r="B26" t="s">
        <v>753</v>
      </c>
      <c r="C26" s="175">
        <f>'DOE25'!L260+'DOE25'!L261+'DOE25'!L341+'DOE25'!L342</f>
        <v>0</v>
      </c>
      <c r="D26" s="178">
        <f t="shared" si="0"/>
        <v>0</v>
      </c>
    </row>
    <row r="27" spans="1:4" x14ac:dyDescent="0.2">
      <c r="A27">
        <v>3100</v>
      </c>
      <c r="B27" t="s">
        <v>11</v>
      </c>
      <c r="C27" s="175">
        <f>ROUND('DOE25'!L354-'DOE25'!L353,0)-SUM('DOE25'!G89:G102)</f>
        <v>170877.11</v>
      </c>
      <c r="D27" s="178">
        <f t="shared" si="0"/>
        <v>1.9</v>
      </c>
    </row>
    <row r="28" spans="1:4" x14ac:dyDescent="0.2">
      <c r="B28" s="183" t="s">
        <v>754</v>
      </c>
      <c r="C28" s="176">
        <f>SUM(C10:C27)</f>
        <v>8830979.1099999994</v>
      </c>
      <c r="D28" s="180">
        <f>ROUND(SUM(D10:D27),0)</f>
        <v>100</v>
      </c>
    </row>
    <row r="29" spans="1:4" x14ac:dyDescent="0.2">
      <c r="A29">
        <v>4000</v>
      </c>
      <c r="B29" t="s">
        <v>759</v>
      </c>
      <c r="C29" s="175">
        <f>ROUND('DOE25'!L247+'DOE25'!L328+'DOE25'!L366+'DOE25'!L367+'DOE25'!L368+'DOE25'!L369+'DOE25'!L370+'DOE25'!L371+'DOE25'!L372,0)</f>
        <v>0</v>
      </c>
    </row>
    <row r="30" spans="1:4" x14ac:dyDescent="0.2">
      <c r="B30" s="183" t="s">
        <v>760</v>
      </c>
      <c r="C30" s="176">
        <f>SUM(C28:C29)</f>
        <v>8830979.1099999994</v>
      </c>
    </row>
    <row r="31" spans="1:4" x14ac:dyDescent="0.2">
      <c r="B31" s="33"/>
      <c r="C31" s="176"/>
    </row>
    <row r="32" spans="1:4" x14ac:dyDescent="0.2">
      <c r="A32">
        <v>5100</v>
      </c>
      <c r="B32" s="33" t="s">
        <v>761</v>
      </c>
      <c r="C32" s="176">
        <f>ROUND('DOE25'!L252+'DOE25'!L333,0)</f>
        <v>160000</v>
      </c>
    </row>
    <row r="34" spans="1:4" x14ac:dyDescent="0.2">
      <c r="A34" s="183" t="s">
        <v>94</v>
      </c>
      <c r="B34" s="184" t="s">
        <v>893</v>
      </c>
      <c r="C34" s="177" t="s">
        <v>755</v>
      </c>
      <c r="D34" s="177" t="s">
        <v>756</v>
      </c>
    </row>
    <row r="35" spans="1:4" x14ac:dyDescent="0.2">
      <c r="A35">
        <v>1100</v>
      </c>
      <c r="B35" s="181" t="s">
        <v>762</v>
      </c>
      <c r="C35" s="175">
        <f>ROUND('DOE25'!F52+'DOE25'!G52+'DOE25'!H52+'DOE25'!I52+'DOE25'!J52,0)</f>
        <v>4688705</v>
      </c>
      <c r="D35" s="178">
        <f t="shared" ref="D35:D40" si="1">ROUND((C35/$C$41)*100,1)</f>
        <v>51.8</v>
      </c>
    </row>
    <row r="36" spans="1:4" x14ac:dyDescent="0.2">
      <c r="B36" s="181" t="s">
        <v>774</v>
      </c>
      <c r="C36" s="175">
        <f>SUM('DOE25'!F104:J104)-SUM('DOE25'!G89:G102)+('DOE25'!F166+'DOE25'!F167+'DOE25'!I166+'DOE25'!I167)-C35</f>
        <v>9007.3700000001118</v>
      </c>
      <c r="D36" s="178">
        <f t="shared" si="1"/>
        <v>0.1</v>
      </c>
    </row>
    <row r="37" spans="1:4" x14ac:dyDescent="0.2">
      <c r="A37" s="179" t="s">
        <v>890</v>
      </c>
      <c r="B37" s="181" t="s">
        <v>763</v>
      </c>
      <c r="C37" s="175">
        <f>ROUND('DOE25'!F109+'DOE25'!F110+'DOE25'!F111,0)</f>
        <v>3636078</v>
      </c>
      <c r="D37" s="178">
        <f t="shared" si="1"/>
        <v>40.200000000000003</v>
      </c>
    </row>
    <row r="38" spans="1:4" x14ac:dyDescent="0.2">
      <c r="A38" s="179" t="s">
        <v>769</v>
      </c>
      <c r="B38" s="181" t="s">
        <v>764</v>
      </c>
      <c r="C38" s="175">
        <f>ROUND(SUM('DOE25'!F132:J132)-SUM('DOE25'!F109:F111),0)</f>
        <v>83946</v>
      </c>
      <c r="D38" s="178">
        <f t="shared" si="1"/>
        <v>0.9</v>
      </c>
    </row>
    <row r="39" spans="1:4" x14ac:dyDescent="0.2">
      <c r="A39">
        <v>4000</v>
      </c>
      <c r="B39" s="181" t="s">
        <v>765</v>
      </c>
      <c r="C39" s="175">
        <f>ROUND('DOE25'!F161+'DOE25'!G161+'DOE25'!H161+'DOE25'!I161,0)</f>
        <v>627050</v>
      </c>
      <c r="D39" s="178">
        <f t="shared" si="1"/>
        <v>6.9</v>
      </c>
    </row>
    <row r="40" spans="1:4" x14ac:dyDescent="0.2">
      <c r="A40" s="179" t="s">
        <v>770</v>
      </c>
      <c r="B40" s="181" t="s">
        <v>766</v>
      </c>
      <c r="C40" s="175">
        <f>ROUND(SUM('DOE25'!F181:F183)+SUM('DOE25'!G181:G183)+SUM('DOE25'!H181:H183)+SUM('DOE25'!I181:I183),0)</f>
        <v>0</v>
      </c>
      <c r="D40" s="178">
        <f t="shared" si="1"/>
        <v>0</v>
      </c>
    </row>
    <row r="41" spans="1:4" x14ac:dyDescent="0.2">
      <c r="B41" s="183" t="s">
        <v>767</v>
      </c>
      <c r="C41" s="176">
        <f>SUM(C35:C40)</f>
        <v>9044786.370000001</v>
      </c>
      <c r="D41" s="180">
        <f>SUM(D35:D40)</f>
        <v>99.9</v>
      </c>
    </row>
    <row r="42" spans="1:4" x14ac:dyDescent="0.2">
      <c r="A42" s="179" t="s">
        <v>772</v>
      </c>
      <c r="B42" s="181" t="s">
        <v>768</v>
      </c>
      <c r="C42" s="175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0AA5-F95D-4528-9FB9-0534E92C9DE9}">
  <sheetPr>
    <tabColor indexed="17"/>
  </sheetPr>
  <dimension ref="A1:IV90"/>
  <sheetViews>
    <sheetView workbookViewId="0">
      <pane ySplit="3" topLeftCell="A6" activePane="bottomLeft" state="frozen"/>
      <selection pane="bottomLeft" activeCell="B55" sqref="B5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3" t="s">
        <v>801</v>
      </c>
      <c r="B1" s="284"/>
      <c r="C1" s="284"/>
      <c r="D1" s="284"/>
      <c r="E1" s="284"/>
      <c r="F1" s="284"/>
      <c r="G1" s="284"/>
      <c r="H1" s="284"/>
      <c r="I1" s="284"/>
      <c r="J1" s="209"/>
      <c r="K1" s="209"/>
      <c r="L1" s="209"/>
      <c r="M1" s="210"/>
    </row>
    <row r="2" spans="1:26" ht="12.75" x14ac:dyDescent="0.2">
      <c r="A2" s="281" t="s">
        <v>798</v>
      </c>
      <c r="B2" s="282"/>
      <c r="C2" s="282"/>
      <c r="D2" s="282"/>
      <c r="E2" s="282"/>
      <c r="F2" s="287" t="str">
        <f>'DOE25'!A2</f>
        <v>Wakefield SD</v>
      </c>
      <c r="G2" s="288"/>
      <c r="H2" s="288"/>
      <c r="I2" s="288"/>
      <c r="J2" s="52"/>
      <c r="K2" s="52"/>
      <c r="L2" s="52"/>
      <c r="M2" s="211"/>
    </row>
    <row r="3" spans="1:26" x14ac:dyDescent="0.2">
      <c r="A3" s="212" t="s">
        <v>799</v>
      </c>
      <c r="B3" s="213" t="s">
        <v>800</v>
      </c>
      <c r="C3" s="285" t="s">
        <v>802</v>
      </c>
      <c r="D3" s="285"/>
      <c r="E3" s="285"/>
      <c r="F3" s="285"/>
      <c r="G3" s="285"/>
      <c r="H3" s="285"/>
      <c r="I3" s="285"/>
      <c r="J3" s="285"/>
      <c r="K3" s="285"/>
      <c r="L3" s="285"/>
      <c r="M3" s="286"/>
    </row>
    <row r="4" spans="1:26" x14ac:dyDescent="0.2">
      <c r="A4" s="214"/>
      <c r="B4" s="21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6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4"/>
      <c r="B5" s="215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6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4"/>
      <c r="B6" s="21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6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4"/>
      <c r="B7" s="215"/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6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4"/>
      <c r="B8" s="215"/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6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4"/>
      <c r="B9" s="215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6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4"/>
      <c r="B10" s="215"/>
      <c r="C10" s="275"/>
      <c r="D10" s="275"/>
      <c r="E10" s="275"/>
      <c r="F10" s="275"/>
      <c r="G10" s="275"/>
      <c r="H10" s="275"/>
      <c r="I10" s="275"/>
      <c r="J10" s="275"/>
      <c r="K10" s="275"/>
      <c r="L10" s="275"/>
      <c r="M10" s="276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4"/>
      <c r="B11" s="215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6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4"/>
      <c r="B12" s="215"/>
      <c r="C12" s="275"/>
      <c r="D12" s="275"/>
      <c r="E12" s="275"/>
      <c r="F12" s="275"/>
      <c r="G12" s="275"/>
      <c r="H12" s="275"/>
      <c r="I12" s="275"/>
      <c r="J12" s="275"/>
      <c r="K12" s="275"/>
      <c r="L12" s="275"/>
      <c r="M12" s="276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4"/>
      <c r="B13" s="215"/>
      <c r="C13" s="275"/>
      <c r="D13" s="275"/>
      <c r="E13" s="275"/>
      <c r="F13" s="275"/>
      <c r="G13" s="275"/>
      <c r="H13" s="275"/>
      <c r="I13" s="275"/>
      <c r="J13" s="275"/>
      <c r="K13" s="275"/>
      <c r="L13" s="275"/>
      <c r="M13" s="276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4"/>
      <c r="B14" s="215"/>
      <c r="C14" s="275"/>
      <c r="D14" s="275"/>
      <c r="E14" s="275"/>
      <c r="F14" s="275"/>
      <c r="G14" s="275"/>
      <c r="H14" s="275"/>
      <c r="I14" s="275"/>
      <c r="J14" s="275"/>
      <c r="K14" s="275"/>
      <c r="L14" s="275"/>
      <c r="M14" s="276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4"/>
      <c r="B15" s="215"/>
      <c r="C15" s="275"/>
      <c r="D15" s="275"/>
      <c r="E15" s="275"/>
      <c r="F15" s="275"/>
      <c r="G15" s="275"/>
      <c r="H15" s="275"/>
      <c r="I15" s="275"/>
      <c r="J15" s="275"/>
      <c r="K15" s="275"/>
      <c r="L15" s="275"/>
      <c r="M15" s="276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4"/>
      <c r="B16" s="215"/>
      <c r="C16" s="275"/>
      <c r="D16" s="275"/>
      <c r="E16" s="275"/>
      <c r="F16" s="275"/>
      <c r="G16" s="275"/>
      <c r="H16" s="275"/>
      <c r="I16" s="275"/>
      <c r="J16" s="275"/>
      <c r="K16" s="275"/>
      <c r="L16" s="275"/>
      <c r="M16" s="276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4"/>
      <c r="B17" s="215"/>
      <c r="C17" s="275"/>
      <c r="D17" s="275"/>
      <c r="E17" s="275"/>
      <c r="F17" s="275"/>
      <c r="G17" s="275"/>
      <c r="H17" s="275"/>
      <c r="I17" s="275"/>
      <c r="J17" s="275"/>
      <c r="K17" s="275"/>
      <c r="L17" s="275"/>
      <c r="M17" s="276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4"/>
      <c r="B18" s="215"/>
      <c r="C18" s="275"/>
      <c r="D18" s="275"/>
      <c r="E18" s="275"/>
      <c r="F18" s="275"/>
      <c r="G18" s="275"/>
      <c r="H18" s="275"/>
      <c r="I18" s="275"/>
      <c r="J18" s="275"/>
      <c r="K18" s="275"/>
      <c r="L18" s="275"/>
      <c r="M18" s="276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4"/>
      <c r="B19" s="215"/>
      <c r="C19" s="275"/>
      <c r="D19" s="275"/>
      <c r="E19" s="275"/>
      <c r="F19" s="275"/>
      <c r="G19" s="275"/>
      <c r="H19" s="275"/>
      <c r="I19" s="275"/>
      <c r="J19" s="275"/>
      <c r="K19" s="275"/>
      <c r="L19" s="275"/>
      <c r="M19" s="276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4"/>
      <c r="B20" s="215"/>
      <c r="C20" s="275"/>
      <c r="D20" s="275"/>
      <c r="E20" s="275"/>
      <c r="F20" s="275"/>
      <c r="G20" s="275"/>
      <c r="H20" s="275"/>
      <c r="I20" s="275"/>
      <c r="J20" s="275"/>
      <c r="K20" s="275"/>
      <c r="L20" s="275"/>
      <c r="M20" s="276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4"/>
      <c r="B21" s="21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6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4"/>
      <c r="B22" s="215"/>
      <c r="C22" s="275"/>
      <c r="D22" s="275"/>
      <c r="E22" s="275"/>
      <c r="F22" s="275"/>
      <c r="G22" s="275"/>
      <c r="H22" s="275"/>
      <c r="I22" s="275"/>
      <c r="J22" s="275"/>
      <c r="K22" s="275"/>
      <c r="L22" s="275"/>
      <c r="M22" s="276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4"/>
      <c r="B23" s="215"/>
      <c r="C23" s="275"/>
      <c r="D23" s="275"/>
      <c r="E23" s="275"/>
      <c r="F23" s="275"/>
      <c r="G23" s="275"/>
      <c r="H23" s="275"/>
      <c r="I23" s="275"/>
      <c r="J23" s="275"/>
      <c r="K23" s="275"/>
      <c r="L23" s="275"/>
      <c r="M23" s="276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4"/>
      <c r="B24" s="215"/>
      <c r="C24" s="275"/>
      <c r="D24" s="275"/>
      <c r="E24" s="275"/>
      <c r="F24" s="275"/>
      <c r="G24" s="275"/>
      <c r="H24" s="275"/>
      <c r="I24" s="275"/>
      <c r="J24" s="275"/>
      <c r="K24" s="275"/>
      <c r="L24" s="275"/>
      <c r="M24" s="276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4"/>
      <c r="B25" s="215"/>
      <c r="C25" s="275"/>
      <c r="D25" s="275"/>
      <c r="E25" s="275"/>
      <c r="F25" s="275"/>
      <c r="G25" s="275"/>
      <c r="H25" s="275"/>
      <c r="I25" s="275"/>
      <c r="J25" s="275"/>
      <c r="K25" s="275"/>
      <c r="L25" s="275"/>
      <c r="M25" s="276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4"/>
      <c r="B26" s="215"/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6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4"/>
      <c r="B27" s="215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6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4"/>
      <c r="B28" s="215"/>
      <c r="C28" s="275"/>
      <c r="D28" s="275"/>
      <c r="E28" s="275"/>
      <c r="F28" s="275"/>
      <c r="G28" s="275"/>
      <c r="H28" s="275"/>
      <c r="I28" s="275"/>
      <c r="J28" s="275"/>
      <c r="K28" s="275"/>
      <c r="L28" s="275"/>
      <c r="M28" s="276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4"/>
      <c r="B29" s="215"/>
      <c r="C29" s="275"/>
      <c r="D29" s="275"/>
      <c r="E29" s="275"/>
      <c r="F29" s="275"/>
      <c r="G29" s="275"/>
      <c r="H29" s="275"/>
      <c r="I29" s="275"/>
      <c r="J29" s="275"/>
      <c r="K29" s="275"/>
      <c r="L29" s="275"/>
      <c r="M29" s="276"/>
      <c r="N29" s="207"/>
      <c r="O29" s="207"/>
      <c r="P29" s="278"/>
      <c r="Q29" s="278"/>
      <c r="R29" s="278"/>
      <c r="S29" s="278"/>
      <c r="T29" s="278"/>
      <c r="U29" s="278"/>
      <c r="V29" s="278"/>
      <c r="W29" s="278"/>
      <c r="X29" s="278"/>
      <c r="Y29" s="278"/>
      <c r="Z29" s="278"/>
      <c r="AA29" s="203"/>
      <c r="AB29" s="203"/>
      <c r="AC29" s="277"/>
      <c r="AD29" s="277"/>
      <c r="AE29" s="277"/>
      <c r="AF29" s="277"/>
      <c r="AG29" s="277"/>
      <c r="AH29" s="277"/>
      <c r="AI29" s="277"/>
      <c r="AJ29" s="277"/>
      <c r="AK29" s="277"/>
      <c r="AL29" s="277"/>
      <c r="AM29" s="277"/>
      <c r="AN29" s="203"/>
      <c r="AO29" s="203"/>
      <c r="AP29" s="277"/>
      <c r="AQ29" s="277"/>
      <c r="AR29" s="277"/>
      <c r="AS29" s="277"/>
      <c r="AT29" s="277"/>
      <c r="AU29" s="277"/>
      <c r="AV29" s="277"/>
      <c r="AW29" s="277"/>
      <c r="AX29" s="277"/>
      <c r="AY29" s="277"/>
      <c r="AZ29" s="277"/>
      <c r="BA29" s="203"/>
      <c r="BB29" s="203"/>
      <c r="BC29" s="277"/>
      <c r="BD29" s="277"/>
      <c r="BE29" s="277"/>
      <c r="BF29" s="277"/>
      <c r="BG29" s="277"/>
      <c r="BH29" s="277"/>
      <c r="BI29" s="277"/>
      <c r="BJ29" s="277"/>
      <c r="BK29" s="277"/>
      <c r="BL29" s="277"/>
      <c r="BM29" s="277"/>
      <c r="BN29" s="203"/>
      <c r="BO29" s="203"/>
      <c r="BP29" s="277"/>
      <c r="BQ29" s="277"/>
      <c r="BR29" s="277"/>
      <c r="BS29" s="277"/>
      <c r="BT29" s="277"/>
      <c r="BU29" s="277"/>
      <c r="BV29" s="277"/>
      <c r="BW29" s="277"/>
      <c r="BX29" s="277"/>
      <c r="BY29" s="277"/>
      <c r="BZ29" s="277"/>
      <c r="CA29" s="203"/>
      <c r="CB29" s="203"/>
      <c r="CC29" s="277"/>
      <c r="CD29" s="277"/>
      <c r="CE29" s="277"/>
      <c r="CF29" s="277"/>
      <c r="CG29" s="277"/>
      <c r="CH29" s="277"/>
      <c r="CI29" s="277"/>
      <c r="CJ29" s="277"/>
      <c r="CK29" s="277"/>
      <c r="CL29" s="277"/>
      <c r="CM29" s="277"/>
      <c r="CN29" s="203"/>
      <c r="CO29" s="203"/>
      <c r="CP29" s="277"/>
      <c r="CQ29" s="277"/>
      <c r="CR29" s="277"/>
      <c r="CS29" s="277"/>
      <c r="CT29" s="277"/>
      <c r="CU29" s="277"/>
      <c r="CV29" s="277"/>
      <c r="CW29" s="277"/>
      <c r="CX29" s="277"/>
      <c r="CY29" s="277"/>
      <c r="CZ29" s="277"/>
      <c r="DA29" s="203"/>
      <c r="DB29" s="203"/>
      <c r="DC29" s="277"/>
      <c r="DD29" s="277"/>
      <c r="DE29" s="277"/>
      <c r="DF29" s="277"/>
      <c r="DG29" s="277"/>
      <c r="DH29" s="277"/>
      <c r="DI29" s="277"/>
      <c r="DJ29" s="277"/>
      <c r="DK29" s="277"/>
      <c r="DL29" s="277"/>
      <c r="DM29" s="277"/>
      <c r="DN29" s="203"/>
      <c r="DO29" s="203"/>
      <c r="DP29" s="277"/>
      <c r="DQ29" s="277"/>
      <c r="DR29" s="277"/>
      <c r="DS29" s="277"/>
      <c r="DT29" s="277"/>
      <c r="DU29" s="277"/>
      <c r="DV29" s="277"/>
      <c r="DW29" s="277"/>
      <c r="DX29" s="277"/>
      <c r="DY29" s="277"/>
      <c r="DZ29" s="277"/>
      <c r="EA29" s="203"/>
      <c r="EB29" s="203"/>
      <c r="EC29" s="277"/>
      <c r="ED29" s="277"/>
      <c r="EE29" s="277"/>
      <c r="EF29" s="277"/>
      <c r="EG29" s="277"/>
      <c r="EH29" s="277"/>
      <c r="EI29" s="277"/>
      <c r="EJ29" s="277"/>
      <c r="EK29" s="277"/>
      <c r="EL29" s="277"/>
      <c r="EM29" s="277"/>
      <c r="EN29" s="203"/>
      <c r="EO29" s="203"/>
      <c r="EP29" s="277"/>
      <c r="EQ29" s="277"/>
      <c r="ER29" s="277"/>
      <c r="ES29" s="277"/>
      <c r="ET29" s="277"/>
      <c r="EU29" s="277"/>
      <c r="EV29" s="277"/>
      <c r="EW29" s="277"/>
      <c r="EX29" s="277"/>
      <c r="EY29" s="277"/>
      <c r="EZ29" s="277"/>
      <c r="FA29" s="203"/>
      <c r="FB29" s="203"/>
      <c r="FC29" s="277"/>
      <c r="FD29" s="277"/>
      <c r="FE29" s="277"/>
      <c r="FF29" s="277"/>
      <c r="FG29" s="277"/>
      <c r="FH29" s="277"/>
      <c r="FI29" s="277"/>
      <c r="FJ29" s="277"/>
      <c r="FK29" s="277"/>
      <c r="FL29" s="277"/>
      <c r="FM29" s="277"/>
      <c r="FN29" s="203"/>
      <c r="FO29" s="203"/>
      <c r="FP29" s="277"/>
      <c r="FQ29" s="277"/>
      <c r="FR29" s="277"/>
      <c r="FS29" s="277"/>
      <c r="FT29" s="277"/>
      <c r="FU29" s="277"/>
      <c r="FV29" s="277"/>
      <c r="FW29" s="277"/>
      <c r="FX29" s="277"/>
      <c r="FY29" s="277"/>
      <c r="FZ29" s="277"/>
      <c r="GA29" s="203"/>
      <c r="GB29" s="203"/>
      <c r="GC29" s="277"/>
      <c r="GD29" s="277"/>
      <c r="GE29" s="277"/>
      <c r="GF29" s="277"/>
      <c r="GG29" s="277"/>
      <c r="GH29" s="277"/>
      <c r="GI29" s="277"/>
      <c r="GJ29" s="277"/>
      <c r="GK29" s="277"/>
      <c r="GL29" s="277"/>
      <c r="GM29" s="277"/>
      <c r="GN29" s="203"/>
      <c r="GO29" s="203"/>
      <c r="GP29" s="277"/>
      <c r="GQ29" s="277"/>
      <c r="GR29" s="277"/>
      <c r="GS29" s="277"/>
      <c r="GT29" s="277"/>
      <c r="GU29" s="277"/>
      <c r="GV29" s="277"/>
      <c r="GW29" s="277"/>
      <c r="GX29" s="277"/>
      <c r="GY29" s="277"/>
      <c r="GZ29" s="277"/>
      <c r="HA29" s="203"/>
      <c r="HB29" s="203"/>
      <c r="HC29" s="277"/>
      <c r="HD29" s="277"/>
      <c r="HE29" s="277"/>
      <c r="HF29" s="277"/>
      <c r="HG29" s="277"/>
      <c r="HH29" s="277"/>
      <c r="HI29" s="277"/>
      <c r="HJ29" s="277"/>
      <c r="HK29" s="277"/>
      <c r="HL29" s="277"/>
      <c r="HM29" s="277"/>
      <c r="HN29" s="203"/>
      <c r="HO29" s="203"/>
      <c r="HP29" s="277"/>
      <c r="HQ29" s="277"/>
      <c r="HR29" s="277"/>
      <c r="HS29" s="277"/>
      <c r="HT29" s="277"/>
      <c r="HU29" s="277"/>
      <c r="HV29" s="277"/>
      <c r="HW29" s="277"/>
      <c r="HX29" s="277"/>
      <c r="HY29" s="277"/>
      <c r="HZ29" s="277"/>
      <c r="IA29" s="203"/>
      <c r="IB29" s="203"/>
      <c r="IC29" s="277"/>
      <c r="ID29" s="277"/>
      <c r="IE29" s="277"/>
      <c r="IF29" s="277"/>
      <c r="IG29" s="277"/>
      <c r="IH29" s="277"/>
      <c r="II29" s="277"/>
      <c r="IJ29" s="277"/>
      <c r="IK29" s="277"/>
      <c r="IL29" s="277"/>
      <c r="IM29" s="277"/>
      <c r="IN29" s="203"/>
      <c r="IO29" s="203"/>
      <c r="IP29" s="277"/>
      <c r="IQ29" s="277"/>
      <c r="IR29" s="277"/>
      <c r="IS29" s="277"/>
      <c r="IT29" s="277"/>
      <c r="IU29" s="277"/>
      <c r="IV29" s="277"/>
    </row>
    <row r="30" spans="1:256" x14ac:dyDescent="0.2">
      <c r="A30" s="214"/>
      <c r="B30" s="215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6"/>
      <c r="N30" s="207"/>
      <c r="O30" s="207"/>
      <c r="P30" s="278"/>
      <c r="Q30" s="278"/>
      <c r="R30" s="278"/>
      <c r="S30" s="278"/>
      <c r="T30" s="278"/>
      <c r="U30" s="278"/>
      <c r="V30" s="278"/>
      <c r="W30" s="278"/>
      <c r="X30" s="278"/>
      <c r="Y30" s="278"/>
      <c r="Z30" s="278"/>
      <c r="AA30" s="203"/>
      <c r="AB30" s="203"/>
      <c r="AC30" s="277"/>
      <c r="AD30" s="277"/>
      <c r="AE30" s="277"/>
      <c r="AF30" s="277"/>
      <c r="AG30" s="277"/>
      <c r="AH30" s="277"/>
      <c r="AI30" s="277"/>
      <c r="AJ30" s="277"/>
      <c r="AK30" s="277"/>
      <c r="AL30" s="277"/>
      <c r="AM30" s="277"/>
      <c r="AN30" s="203"/>
      <c r="AO30" s="203"/>
      <c r="AP30" s="277"/>
      <c r="AQ30" s="277"/>
      <c r="AR30" s="277"/>
      <c r="AS30" s="277"/>
      <c r="AT30" s="277"/>
      <c r="AU30" s="277"/>
      <c r="AV30" s="277"/>
      <c r="AW30" s="277"/>
      <c r="AX30" s="277"/>
      <c r="AY30" s="277"/>
      <c r="AZ30" s="277"/>
      <c r="BA30" s="203"/>
      <c r="BB30" s="203"/>
      <c r="BC30" s="277"/>
      <c r="BD30" s="277"/>
      <c r="BE30" s="277"/>
      <c r="BF30" s="277"/>
      <c r="BG30" s="277"/>
      <c r="BH30" s="277"/>
      <c r="BI30" s="277"/>
      <c r="BJ30" s="277"/>
      <c r="BK30" s="277"/>
      <c r="BL30" s="277"/>
      <c r="BM30" s="277"/>
      <c r="BN30" s="203"/>
      <c r="BO30" s="203"/>
      <c r="BP30" s="277"/>
      <c r="BQ30" s="277"/>
      <c r="BR30" s="277"/>
      <c r="BS30" s="277"/>
      <c r="BT30" s="277"/>
      <c r="BU30" s="277"/>
      <c r="BV30" s="277"/>
      <c r="BW30" s="277"/>
      <c r="BX30" s="277"/>
      <c r="BY30" s="277"/>
      <c r="BZ30" s="277"/>
      <c r="CA30" s="203"/>
      <c r="CB30" s="203"/>
      <c r="CC30" s="277"/>
      <c r="CD30" s="277"/>
      <c r="CE30" s="277"/>
      <c r="CF30" s="277"/>
      <c r="CG30" s="277"/>
      <c r="CH30" s="277"/>
      <c r="CI30" s="277"/>
      <c r="CJ30" s="277"/>
      <c r="CK30" s="277"/>
      <c r="CL30" s="277"/>
      <c r="CM30" s="277"/>
      <c r="CN30" s="203"/>
      <c r="CO30" s="203"/>
      <c r="CP30" s="277"/>
      <c r="CQ30" s="277"/>
      <c r="CR30" s="277"/>
      <c r="CS30" s="277"/>
      <c r="CT30" s="277"/>
      <c r="CU30" s="277"/>
      <c r="CV30" s="277"/>
      <c r="CW30" s="277"/>
      <c r="CX30" s="277"/>
      <c r="CY30" s="277"/>
      <c r="CZ30" s="277"/>
      <c r="DA30" s="203"/>
      <c r="DB30" s="203"/>
      <c r="DC30" s="277"/>
      <c r="DD30" s="277"/>
      <c r="DE30" s="277"/>
      <c r="DF30" s="277"/>
      <c r="DG30" s="277"/>
      <c r="DH30" s="277"/>
      <c r="DI30" s="277"/>
      <c r="DJ30" s="277"/>
      <c r="DK30" s="277"/>
      <c r="DL30" s="277"/>
      <c r="DM30" s="277"/>
      <c r="DN30" s="203"/>
      <c r="DO30" s="203"/>
      <c r="DP30" s="277"/>
      <c r="DQ30" s="277"/>
      <c r="DR30" s="277"/>
      <c r="DS30" s="277"/>
      <c r="DT30" s="277"/>
      <c r="DU30" s="277"/>
      <c r="DV30" s="277"/>
      <c r="DW30" s="277"/>
      <c r="DX30" s="277"/>
      <c r="DY30" s="277"/>
      <c r="DZ30" s="277"/>
      <c r="EA30" s="203"/>
      <c r="EB30" s="203"/>
      <c r="EC30" s="277"/>
      <c r="ED30" s="277"/>
      <c r="EE30" s="277"/>
      <c r="EF30" s="277"/>
      <c r="EG30" s="277"/>
      <c r="EH30" s="277"/>
      <c r="EI30" s="277"/>
      <c r="EJ30" s="277"/>
      <c r="EK30" s="277"/>
      <c r="EL30" s="277"/>
      <c r="EM30" s="277"/>
      <c r="EN30" s="203"/>
      <c r="EO30" s="203"/>
      <c r="EP30" s="277"/>
      <c r="EQ30" s="277"/>
      <c r="ER30" s="277"/>
      <c r="ES30" s="277"/>
      <c r="ET30" s="277"/>
      <c r="EU30" s="277"/>
      <c r="EV30" s="277"/>
      <c r="EW30" s="277"/>
      <c r="EX30" s="277"/>
      <c r="EY30" s="277"/>
      <c r="EZ30" s="277"/>
      <c r="FA30" s="203"/>
      <c r="FB30" s="203"/>
      <c r="FC30" s="277"/>
      <c r="FD30" s="277"/>
      <c r="FE30" s="277"/>
      <c r="FF30" s="277"/>
      <c r="FG30" s="277"/>
      <c r="FH30" s="277"/>
      <c r="FI30" s="277"/>
      <c r="FJ30" s="277"/>
      <c r="FK30" s="277"/>
      <c r="FL30" s="277"/>
      <c r="FM30" s="277"/>
      <c r="FN30" s="203"/>
      <c r="FO30" s="203"/>
      <c r="FP30" s="277"/>
      <c r="FQ30" s="277"/>
      <c r="FR30" s="277"/>
      <c r="FS30" s="277"/>
      <c r="FT30" s="277"/>
      <c r="FU30" s="277"/>
      <c r="FV30" s="277"/>
      <c r="FW30" s="277"/>
      <c r="FX30" s="277"/>
      <c r="FY30" s="277"/>
      <c r="FZ30" s="277"/>
      <c r="GA30" s="203"/>
      <c r="GB30" s="203"/>
      <c r="GC30" s="277"/>
      <c r="GD30" s="277"/>
      <c r="GE30" s="277"/>
      <c r="GF30" s="277"/>
      <c r="GG30" s="277"/>
      <c r="GH30" s="277"/>
      <c r="GI30" s="277"/>
      <c r="GJ30" s="277"/>
      <c r="GK30" s="277"/>
      <c r="GL30" s="277"/>
      <c r="GM30" s="277"/>
      <c r="GN30" s="203"/>
      <c r="GO30" s="203"/>
      <c r="GP30" s="277"/>
      <c r="GQ30" s="277"/>
      <c r="GR30" s="277"/>
      <c r="GS30" s="277"/>
      <c r="GT30" s="277"/>
      <c r="GU30" s="277"/>
      <c r="GV30" s="277"/>
      <c r="GW30" s="277"/>
      <c r="GX30" s="277"/>
      <c r="GY30" s="277"/>
      <c r="GZ30" s="277"/>
      <c r="HA30" s="203"/>
      <c r="HB30" s="203"/>
      <c r="HC30" s="277"/>
      <c r="HD30" s="277"/>
      <c r="HE30" s="277"/>
      <c r="HF30" s="277"/>
      <c r="HG30" s="277"/>
      <c r="HH30" s="277"/>
      <c r="HI30" s="277"/>
      <c r="HJ30" s="277"/>
      <c r="HK30" s="277"/>
      <c r="HL30" s="277"/>
      <c r="HM30" s="277"/>
      <c r="HN30" s="203"/>
      <c r="HO30" s="203"/>
      <c r="HP30" s="277"/>
      <c r="HQ30" s="277"/>
      <c r="HR30" s="277"/>
      <c r="HS30" s="277"/>
      <c r="HT30" s="277"/>
      <c r="HU30" s="277"/>
      <c r="HV30" s="277"/>
      <c r="HW30" s="277"/>
      <c r="HX30" s="277"/>
      <c r="HY30" s="277"/>
      <c r="HZ30" s="277"/>
      <c r="IA30" s="203"/>
      <c r="IB30" s="203"/>
      <c r="IC30" s="277"/>
      <c r="ID30" s="277"/>
      <c r="IE30" s="277"/>
      <c r="IF30" s="277"/>
      <c r="IG30" s="277"/>
      <c r="IH30" s="277"/>
      <c r="II30" s="277"/>
      <c r="IJ30" s="277"/>
      <c r="IK30" s="277"/>
      <c r="IL30" s="277"/>
      <c r="IM30" s="277"/>
      <c r="IN30" s="203"/>
      <c r="IO30" s="203"/>
      <c r="IP30" s="277"/>
      <c r="IQ30" s="277"/>
      <c r="IR30" s="277"/>
      <c r="IS30" s="277"/>
      <c r="IT30" s="277"/>
      <c r="IU30" s="277"/>
      <c r="IV30" s="277"/>
    </row>
    <row r="31" spans="1:256" x14ac:dyDescent="0.2">
      <c r="A31" s="214"/>
      <c r="B31" s="215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6"/>
      <c r="N31" s="207"/>
      <c r="O31" s="207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03"/>
      <c r="AB31" s="203"/>
      <c r="AC31" s="277"/>
      <c r="AD31" s="277"/>
      <c r="AE31" s="277"/>
      <c r="AF31" s="277"/>
      <c r="AG31" s="277"/>
      <c r="AH31" s="277"/>
      <c r="AI31" s="277"/>
      <c r="AJ31" s="277"/>
      <c r="AK31" s="277"/>
      <c r="AL31" s="277"/>
      <c r="AM31" s="277"/>
      <c r="AN31" s="203"/>
      <c r="AO31" s="203"/>
      <c r="AP31" s="277"/>
      <c r="AQ31" s="277"/>
      <c r="AR31" s="277"/>
      <c r="AS31" s="277"/>
      <c r="AT31" s="277"/>
      <c r="AU31" s="277"/>
      <c r="AV31" s="277"/>
      <c r="AW31" s="277"/>
      <c r="AX31" s="277"/>
      <c r="AY31" s="277"/>
      <c r="AZ31" s="277"/>
      <c r="BA31" s="203"/>
      <c r="BB31" s="203"/>
      <c r="BC31" s="277"/>
      <c r="BD31" s="277"/>
      <c r="BE31" s="277"/>
      <c r="BF31" s="277"/>
      <c r="BG31" s="277"/>
      <c r="BH31" s="277"/>
      <c r="BI31" s="277"/>
      <c r="BJ31" s="277"/>
      <c r="BK31" s="277"/>
      <c r="BL31" s="277"/>
      <c r="BM31" s="277"/>
      <c r="BN31" s="203"/>
      <c r="BO31" s="203"/>
      <c r="BP31" s="277"/>
      <c r="BQ31" s="277"/>
      <c r="BR31" s="277"/>
      <c r="BS31" s="277"/>
      <c r="BT31" s="277"/>
      <c r="BU31" s="277"/>
      <c r="BV31" s="277"/>
      <c r="BW31" s="277"/>
      <c r="BX31" s="277"/>
      <c r="BY31" s="277"/>
      <c r="BZ31" s="277"/>
      <c r="CA31" s="203"/>
      <c r="CB31" s="203"/>
      <c r="CC31" s="277"/>
      <c r="CD31" s="277"/>
      <c r="CE31" s="277"/>
      <c r="CF31" s="277"/>
      <c r="CG31" s="277"/>
      <c r="CH31" s="277"/>
      <c r="CI31" s="277"/>
      <c r="CJ31" s="277"/>
      <c r="CK31" s="277"/>
      <c r="CL31" s="277"/>
      <c r="CM31" s="277"/>
      <c r="CN31" s="203"/>
      <c r="CO31" s="203"/>
      <c r="CP31" s="277"/>
      <c r="CQ31" s="277"/>
      <c r="CR31" s="277"/>
      <c r="CS31" s="277"/>
      <c r="CT31" s="277"/>
      <c r="CU31" s="277"/>
      <c r="CV31" s="277"/>
      <c r="CW31" s="277"/>
      <c r="CX31" s="277"/>
      <c r="CY31" s="277"/>
      <c r="CZ31" s="277"/>
      <c r="DA31" s="203"/>
      <c r="DB31" s="203"/>
      <c r="DC31" s="277"/>
      <c r="DD31" s="277"/>
      <c r="DE31" s="277"/>
      <c r="DF31" s="277"/>
      <c r="DG31" s="277"/>
      <c r="DH31" s="277"/>
      <c r="DI31" s="277"/>
      <c r="DJ31" s="277"/>
      <c r="DK31" s="277"/>
      <c r="DL31" s="277"/>
      <c r="DM31" s="277"/>
      <c r="DN31" s="203"/>
      <c r="DO31" s="203"/>
      <c r="DP31" s="277"/>
      <c r="DQ31" s="277"/>
      <c r="DR31" s="277"/>
      <c r="DS31" s="277"/>
      <c r="DT31" s="277"/>
      <c r="DU31" s="277"/>
      <c r="DV31" s="277"/>
      <c r="DW31" s="277"/>
      <c r="DX31" s="277"/>
      <c r="DY31" s="277"/>
      <c r="DZ31" s="277"/>
      <c r="EA31" s="203"/>
      <c r="EB31" s="203"/>
      <c r="EC31" s="277"/>
      <c r="ED31" s="277"/>
      <c r="EE31" s="277"/>
      <c r="EF31" s="277"/>
      <c r="EG31" s="277"/>
      <c r="EH31" s="277"/>
      <c r="EI31" s="277"/>
      <c r="EJ31" s="277"/>
      <c r="EK31" s="277"/>
      <c r="EL31" s="277"/>
      <c r="EM31" s="277"/>
      <c r="EN31" s="203"/>
      <c r="EO31" s="203"/>
      <c r="EP31" s="277"/>
      <c r="EQ31" s="277"/>
      <c r="ER31" s="277"/>
      <c r="ES31" s="277"/>
      <c r="ET31" s="277"/>
      <c r="EU31" s="277"/>
      <c r="EV31" s="277"/>
      <c r="EW31" s="277"/>
      <c r="EX31" s="277"/>
      <c r="EY31" s="277"/>
      <c r="EZ31" s="277"/>
      <c r="FA31" s="203"/>
      <c r="FB31" s="203"/>
      <c r="FC31" s="277"/>
      <c r="FD31" s="277"/>
      <c r="FE31" s="277"/>
      <c r="FF31" s="277"/>
      <c r="FG31" s="277"/>
      <c r="FH31" s="277"/>
      <c r="FI31" s="277"/>
      <c r="FJ31" s="277"/>
      <c r="FK31" s="277"/>
      <c r="FL31" s="277"/>
      <c r="FM31" s="277"/>
      <c r="FN31" s="203"/>
      <c r="FO31" s="203"/>
      <c r="FP31" s="277"/>
      <c r="FQ31" s="277"/>
      <c r="FR31" s="277"/>
      <c r="FS31" s="277"/>
      <c r="FT31" s="277"/>
      <c r="FU31" s="277"/>
      <c r="FV31" s="277"/>
      <c r="FW31" s="277"/>
      <c r="FX31" s="277"/>
      <c r="FY31" s="277"/>
      <c r="FZ31" s="277"/>
      <c r="GA31" s="203"/>
      <c r="GB31" s="203"/>
      <c r="GC31" s="277"/>
      <c r="GD31" s="277"/>
      <c r="GE31" s="277"/>
      <c r="GF31" s="277"/>
      <c r="GG31" s="277"/>
      <c r="GH31" s="277"/>
      <c r="GI31" s="277"/>
      <c r="GJ31" s="277"/>
      <c r="GK31" s="277"/>
      <c r="GL31" s="277"/>
      <c r="GM31" s="277"/>
      <c r="GN31" s="203"/>
      <c r="GO31" s="203"/>
      <c r="GP31" s="277"/>
      <c r="GQ31" s="277"/>
      <c r="GR31" s="277"/>
      <c r="GS31" s="277"/>
      <c r="GT31" s="277"/>
      <c r="GU31" s="277"/>
      <c r="GV31" s="277"/>
      <c r="GW31" s="277"/>
      <c r="GX31" s="277"/>
      <c r="GY31" s="277"/>
      <c r="GZ31" s="277"/>
      <c r="HA31" s="203"/>
      <c r="HB31" s="203"/>
      <c r="HC31" s="277"/>
      <c r="HD31" s="277"/>
      <c r="HE31" s="277"/>
      <c r="HF31" s="277"/>
      <c r="HG31" s="277"/>
      <c r="HH31" s="277"/>
      <c r="HI31" s="277"/>
      <c r="HJ31" s="277"/>
      <c r="HK31" s="277"/>
      <c r="HL31" s="277"/>
      <c r="HM31" s="277"/>
      <c r="HN31" s="203"/>
      <c r="HO31" s="203"/>
      <c r="HP31" s="277"/>
      <c r="HQ31" s="277"/>
      <c r="HR31" s="277"/>
      <c r="HS31" s="277"/>
      <c r="HT31" s="277"/>
      <c r="HU31" s="277"/>
      <c r="HV31" s="277"/>
      <c r="HW31" s="277"/>
      <c r="HX31" s="277"/>
      <c r="HY31" s="277"/>
      <c r="HZ31" s="277"/>
      <c r="IA31" s="203"/>
      <c r="IB31" s="203"/>
      <c r="IC31" s="277"/>
      <c r="ID31" s="277"/>
      <c r="IE31" s="277"/>
      <c r="IF31" s="277"/>
      <c r="IG31" s="277"/>
      <c r="IH31" s="277"/>
      <c r="II31" s="277"/>
      <c r="IJ31" s="277"/>
      <c r="IK31" s="277"/>
      <c r="IL31" s="277"/>
      <c r="IM31" s="277"/>
      <c r="IN31" s="203"/>
      <c r="IO31" s="203"/>
      <c r="IP31" s="277"/>
      <c r="IQ31" s="277"/>
      <c r="IR31" s="277"/>
      <c r="IS31" s="277"/>
      <c r="IT31" s="277"/>
      <c r="IU31" s="277"/>
      <c r="IV31" s="277"/>
    </row>
    <row r="32" spans="1:256" x14ac:dyDescent="0.2">
      <c r="A32" s="214"/>
      <c r="B32" s="215"/>
      <c r="C32" s="275"/>
      <c r="D32" s="275"/>
      <c r="E32" s="275"/>
      <c r="F32" s="275"/>
      <c r="G32" s="275"/>
      <c r="H32" s="275"/>
      <c r="I32" s="275"/>
      <c r="J32" s="275"/>
      <c r="K32" s="275"/>
      <c r="L32" s="275"/>
      <c r="M32" s="276"/>
      <c r="N32" s="219"/>
      <c r="O32" s="219"/>
      <c r="P32" s="279"/>
      <c r="Q32" s="279"/>
      <c r="R32" s="279"/>
      <c r="S32" s="279"/>
      <c r="T32" s="279"/>
      <c r="U32" s="279"/>
      <c r="V32" s="279"/>
      <c r="W32" s="279"/>
      <c r="X32" s="279"/>
      <c r="Y32" s="279"/>
      <c r="Z32" s="280"/>
      <c r="AA32" s="214"/>
      <c r="AB32" s="215"/>
      <c r="AC32" s="275"/>
      <c r="AD32" s="275"/>
      <c r="AE32" s="275"/>
      <c r="AF32" s="275"/>
      <c r="AG32" s="275"/>
      <c r="AH32" s="275"/>
      <c r="AI32" s="275"/>
      <c r="AJ32" s="275"/>
      <c r="AK32" s="275"/>
      <c r="AL32" s="275"/>
      <c r="AM32" s="276"/>
      <c r="AN32" s="214"/>
      <c r="AO32" s="215"/>
      <c r="AP32" s="275"/>
      <c r="AQ32" s="275"/>
      <c r="AR32" s="275"/>
      <c r="AS32" s="275"/>
      <c r="AT32" s="275"/>
      <c r="AU32" s="275"/>
      <c r="AV32" s="275"/>
      <c r="AW32" s="275"/>
      <c r="AX32" s="275"/>
      <c r="AY32" s="275"/>
      <c r="AZ32" s="276"/>
      <c r="BA32" s="214"/>
      <c r="BB32" s="215"/>
      <c r="BC32" s="275"/>
      <c r="BD32" s="275"/>
      <c r="BE32" s="275"/>
      <c r="BF32" s="275"/>
      <c r="BG32" s="275"/>
      <c r="BH32" s="275"/>
      <c r="BI32" s="275"/>
      <c r="BJ32" s="275"/>
      <c r="BK32" s="275"/>
      <c r="BL32" s="275"/>
      <c r="BM32" s="276"/>
      <c r="BN32" s="214"/>
      <c r="BO32" s="215"/>
      <c r="BP32" s="275"/>
      <c r="BQ32" s="275"/>
      <c r="BR32" s="275"/>
      <c r="BS32" s="275"/>
      <c r="BT32" s="275"/>
      <c r="BU32" s="275"/>
      <c r="BV32" s="275"/>
      <c r="BW32" s="275"/>
      <c r="BX32" s="275"/>
      <c r="BY32" s="275"/>
      <c r="BZ32" s="276"/>
      <c r="CA32" s="214"/>
      <c r="CB32" s="215"/>
      <c r="CC32" s="275"/>
      <c r="CD32" s="275"/>
      <c r="CE32" s="275"/>
      <c r="CF32" s="275"/>
      <c r="CG32" s="275"/>
      <c r="CH32" s="275"/>
      <c r="CI32" s="275"/>
      <c r="CJ32" s="275"/>
      <c r="CK32" s="275"/>
      <c r="CL32" s="275"/>
      <c r="CM32" s="276"/>
      <c r="CN32" s="214"/>
      <c r="CO32" s="215"/>
      <c r="CP32" s="275"/>
      <c r="CQ32" s="275"/>
      <c r="CR32" s="275"/>
      <c r="CS32" s="275"/>
      <c r="CT32" s="275"/>
      <c r="CU32" s="275"/>
      <c r="CV32" s="275"/>
      <c r="CW32" s="275"/>
      <c r="CX32" s="275"/>
      <c r="CY32" s="275"/>
      <c r="CZ32" s="276"/>
      <c r="DA32" s="214"/>
      <c r="DB32" s="215"/>
      <c r="DC32" s="275"/>
      <c r="DD32" s="275"/>
      <c r="DE32" s="275"/>
      <c r="DF32" s="275"/>
      <c r="DG32" s="275"/>
      <c r="DH32" s="275"/>
      <c r="DI32" s="275"/>
      <c r="DJ32" s="275"/>
      <c r="DK32" s="275"/>
      <c r="DL32" s="275"/>
      <c r="DM32" s="276"/>
      <c r="DN32" s="214"/>
      <c r="DO32" s="215"/>
      <c r="DP32" s="275"/>
      <c r="DQ32" s="275"/>
      <c r="DR32" s="275"/>
      <c r="DS32" s="275"/>
      <c r="DT32" s="275"/>
      <c r="DU32" s="275"/>
      <c r="DV32" s="275"/>
      <c r="DW32" s="275"/>
      <c r="DX32" s="275"/>
      <c r="DY32" s="275"/>
      <c r="DZ32" s="276"/>
      <c r="EA32" s="214"/>
      <c r="EB32" s="215"/>
      <c r="EC32" s="275"/>
      <c r="ED32" s="275"/>
      <c r="EE32" s="275"/>
      <c r="EF32" s="275"/>
      <c r="EG32" s="275"/>
      <c r="EH32" s="275"/>
      <c r="EI32" s="275"/>
      <c r="EJ32" s="275"/>
      <c r="EK32" s="275"/>
      <c r="EL32" s="275"/>
      <c r="EM32" s="276"/>
      <c r="EN32" s="214"/>
      <c r="EO32" s="215"/>
      <c r="EP32" s="275"/>
      <c r="EQ32" s="275"/>
      <c r="ER32" s="275"/>
      <c r="ES32" s="275"/>
      <c r="ET32" s="275"/>
      <c r="EU32" s="275"/>
      <c r="EV32" s="275"/>
      <c r="EW32" s="275"/>
      <c r="EX32" s="275"/>
      <c r="EY32" s="275"/>
      <c r="EZ32" s="276"/>
      <c r="FA32" s="214"/>
      <c r="FB32" s="215"/>
      <c r="FC32" s="275"/>
      <c r="FD32" s="275"/>
      <c r="FE32" s="275"/>
      <c r="FF32" s="275"/>
      <c r="FG32" s="275"/>
      <c r="FH32" s="275"/>
      <c r="FI32" s="275"/>
      <c r="FJ32" s="275"/>
      <c r="FK32" s="275"/>
      <c r="FL32" s="275"/>
      <c r="FM32" s="276"/>
      <c r="FN32" s="214"/>
      <c r="FO32" s="215"/>
      <c r="FP32" s="275"/>
      <c r="FQ32" s="275"/>
      <c r="FR32" s="275"/>
      <c r="FS32" s="275"/>
      <c r="FT32" s="275"/>
      <c r="FU32" s="275"/>
      <c r="FV32" s="275"/>
      <c r="FW32" s="275"/>
      <c r="FX32" s="275"/>
      <c r="FY32" s="275"/>
      <c r="FZ32" s="276"/>
      <c r="GA32" s="214"/>
      <c r="GB32" s="215"/>
      <c r="GC32" s="275"/>
      <c r="GD32" s="275"/>
      <c r="GE32" s="275"/>
      <c r="GF32" s="275"/>
      <c r="GG32" s="275"/>
      <c r="GH32" s="275"/>
      <c r="GI32" s="275"/>
      <c r="GJ32" s="275"/>
      <c r="GK32" s="275"/>
      <c r="GL32" s="275"/>
      <c r="GM32" s="276"/>
      <c r="GN32" s="214"/>
      <c r="GO32" s="215"/>
      <c r="GP32" s="275"/>
      <c r="GQ32" s="275"/>
      <c r="GR32" s="275"/>
      <c r="GS32" s="275"/>
      <c r="GT32" s="275"/>
      <c r="GU32" s="275"/>
      <c r="GV32" s="275"/>
      <c r="GW32" s="275"/>
      <c r="GX32" s="275"/>
      <c r="GY32" s="275"/>
      <c r="GZ32" s="276"/>
      <c r="HA32" s="214"/>
      <c r="HB32" s="215"/>
      <c r="HC32" s="275"/>
      <c r="HD32" s="275"/>
      <c r="HE32" s="275"/>
      <c r="HF32" s="275"/>
      <c r="HG32" s="275"/>
      <c r="HH32" s="275"/>
      <c r="HI32" s="275"/>
      <c r="HJ32" s="275"/>
      <c r="HK32" s="275"/>
      <c r="HL32" s="275"/>
      <c r="HM32" s="276"/>
      <c r="HN32" s="214"/>
      <c r="HO32" s="215"/>
      <c r="HP32" s="275"/>
      <c r="HQ32" s="275"/>
      <c r="HR32" s="275"/>
      <c r="HS32" s="275"/>
      <c r="HT32" s="275"/>
      <c r="HU32" s="275"/>
      <c r="HV32" s="275"/>
      <c r="HW32" s="275"/>
      <c r="HX32" s="275"/>
      <c r="HY32" s="275"/>
      <c r="HZ32" s="276"/>
      <c r="IA32" s="214"/>
      <c r="IB32" s="215"/>
      <c r="IC32" s="275"/>
      <c r="ID32" s="275"/>
      <c r="IE32" s="275"/>
      <c r="IF32" s="275"/>
      <c r="IG32" s="275"/>
      <c r="IH32" s="275"/>
      <c r="II32" s="275"/>
      <c r="IJ32" s="275"/>
      <c r="IK32" s="275"/>
      <c r="IL32" s="275"/>
      <c r="IM32" s="276"/>
      <c r="IN32" s="214"/>
      <c r="IO32" s="215"/>
      <c r="IP32" s="275"/>
      <c r="IQ32" s="275"/>
      <c r="IR32" s="275"/>
      <c r="IS32" s="275"/>
      <c r="IT32" s="275"/>
      <c r="IU32" s="275"/>
      <c r="IV32" s="275"/>
    </row>
    <row r="33" spans="1:256" x14ac:dyDescent="0.2">
      <c r="A33" s="214"/>
      <c r="B33" s="21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6"/>
      <c r="N33" s="207"/>
      <c r="O33" s="207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03"/>
      <c r="AB33" s="203"/>
      <c r="AC33" s="208"/>
      <c r="AD33" s="208"/>
      <c r="AE33" s="208"/>
      <c r="AF33" s="208"/>
      <c r="AG33" s="208"/>
      <c r="AH33" s="208"/>
      <c r="AI33" s="208"/>
      <c r="AJ33" s="208"/>
      <c r="AK33" s="208"/>
      <c r="AL33" s="208"/>
      <c r="AM33" s="208"/>
      <c r="AN33" s="203"/>
      <c r="AO33" s="203"/>
      <c r="AP33" s="208"/>
      <c r="AQ33" s="208"/>
      <c r="AR33" s="208"/>
      <c r="AS33" s="208"/>
      <c r="AT33" s="208"/>
      <c r="AU33" s="208"/>
      <c r="AV33" s="208"/>
      <c r="AW33" s="208"/>
      <c r="AX33" s="208"/>
      <c r="AY33" s="208"/>
      <c r="AZ33" s="208"/>
      <c r="BA33" s="203"/>
      <c r="BB33" s="203"/>
      <c r="BC33" s="208"/>
      <c r="BD33" s="208"/>
      <c r="BE33" s="208"/>
      <c r="BF33" s="208"/>
      <c r="BG33" s="208"/>
      <c r="BH33" s="208"/>
      <c r="BI33" s="208"/>
      <c r="BJ33" s="208"/>
      <c r="BK33" s="208"/>
      <c r="BL33" s="208"/>
      <c r="BM33" s="208"/>
      <c r="BN33" s="203"/>
      <c r="BO33" s="203"/>
      <c r="BP33" s="208"/>
      <c r="BQ33" s="208"/>
      <c r="BR33" s="208"/>
      <c r="BS33" s="208"/>
      <c r="BT33" s="208"/>
      <c r="BU33" s="208"/>
      <c r="BV33" s="208"/>
      <c r="BW33" s="208"/>
      <c r="BX33" s="208"/>
      <c r="BY33" s="208"/>
      <c r="BZ33" s="208"/>
      <c r="CA33" s="203"/>
      <c r="CB33" s="203"/>
      <c r="CC33" s="208"/>
      <c r="CD33" s="208"/>
      <c r="CE33" s="208"/>
      <c r="CF33" s="208"/>
      <c r="CG33" s="208"/>
      <c r="CH33" s="208"/>
      <c r="CI33" s="208"/>
      <c r="CJ33" s="208"/>
      <c r="CK33" s="208"/>
      <c r="CL33" s="208"/>
      <c r="CM33" s="208"/>
      <c r="CN33" s="203"/>
      <c r="CO33" s="203"/>
      <c r="CP33" s="208"/>
      <c r="CQ33" s="208"/>
      <c r="CR33" s="208"/>
      <c r="CS33" s="208"/>
      <c r="CT33" s="208"/>
      <c r="CU33" s="208"/>
      <c r="CV33" s="208"/>
      <c r="CW33" s="208"/>
      <c r="CX33" s="208"/>
      <c r="CY33" s="208"/>
      <c r="CZ33" s="208"/>
      <c r="DA33" s="203"/>
      <c r="DB33" s="203"/>
      <c r="DC33" s="208"/>
      <c r="DD33" s="208"/>
      <c r="DE33" s="208"/>
      <c r="DF33" s="208"/>
      <c r="DG33" s="208"/>
      <c r="DH33" s="208"/>
      <c r="DI33" s="208"/>
      <c r="DJ33" s="208"/>
      <c r="DK33" s="208"/>
      <c r="DL33" s="208"/>
      <c r="DM33" s="208"/>
      <c r="DN33" s="203"/>
      <c r="DO33" s="203"/>
      <c r="DP33" s="208"/>
      <c r="DQ33" s="208"/>
      <c r="DR33" s="208"/>
      <c r="DS33" s="208"/>
      <c r="DT33" s="208"/>
      <c r="DU33" s="208"/>
      <c r="DV33" s="208"/>
      <c r="DW33" s="208"/>
      <c r="DX33" s="208"/>
      <c r="DY33" s="208"/>
      <c r="DZ33" s="208"/>
      <c r="EA33" s="203"/>
      <c r="EB33" s="203"/>
      <c r="EC33" s="208"/>
      <c r="ED33" s="208"/>
      <c r="EE33" s="208"/>
      <c r="EF33" s="208"/>
      <c r="EG33" s="208"/>
      <c r="EH33" s="208"/>
      <c r="EI33" s="208"/>
      <c r="EJ33" s="208"/>
      <c r="EK33" s="208"/>
      <c r="EL33" s="208"/>
      <c r="EM33" s="208"/>
      <c r="EN33" s="203"/>
      <c r="EO33" s="203"/>
      <c r="EP33" s="208"/>
      <c r="EQ33" s="208"/>
      <c r="ER33" s="208"/>
      <c r="ES33" s="208"/>
      <c r="ET33" s="208"/>
      <c r="EU33" s="208"/>
      <c r="EV33" s="208"/>
      <c r="EW33" s="208"/>
      <c r="EX33" s="208"/>
      <c r="EY33" s="208"/>
      <c r="EZ33" s="208"/>
      <c r="FA33" s="203"/>
      <c r="FB33" s="203"/>
      <c r="FC33" s="208"/>
      <c r="FD33" s="208"/>
      <c r="FE33" s="208"/>
      <c r="FF33" s="208"/>
      <c r="FG33" s="208"/>
      <c r="FH33" s="208"/>
      <c r="FI33" s="208"/>
      <c r="FJ33" s="208"/>
      <c r="FK33" s="208"/>
      <c r="FL33" s="208"/>
      <c r="FM33" s="208"/>
      <c r="FN33" s="203"/>
      <c r="FO33" s="203"/>
      <c r="FP33" s="208"/>
      <c r="FQ33" s="208"/>
      <c r="FR33" s="208"/>
      <c r="FS33" s="208"/>
      <c r="FT33" s="208"/>
      <c r="FU33" s="208"/>
      <c r="FV33" s="208"/>
      <c r="FW33" s="208"/>
      <c r="FX33" s="208"/>
      <c r="FY33" s="208"/>
      <c r="FZ33" s="208"/>
      <c r="GA33" s="203"/>
      <c r="GB33" s="203"/>
      <c r="GC33" s="208"/>
      <c r="GD33" s="208"/>
      <c r="GE33" s="208"/>
      <c r="GF33" s="208"/>
      <c r="GG33" s="208"/>
      <c r="GH33" s="208"/>
      <c r="GI33" s="208"/>
      <c r="GJ33" s="208"/>
      <c r="GK33" s="208"/>
      <c r="GL33" s="208"/>
      <c r="GM33" s="208"/>
      <c r="GN33" s="203"/>
      <c r="GO33" s="203"/>
      <c r="GP33" s="208"/>
      <c r="GQ33" s="208"/>
      <c r="GR33" s="208"/>
      <c r="GS33" s="208"/>
      <c r="GT33" s="208"/>
      <c r="GU33" s="208"/>
      <c r="GV33" s="208"/>
      <c r="GW33" s="208"/>
      <c r="GX33" s="208"/>
      <c r="GY33" s="208"/>
      <c r="GZ33" s="208"/>
      <c r="HA33" s="203"/>
      <c r="HB33" s="203"/>
      <c r="HC33" s="208"/>
      <c r="HD33" s="208"/>
      <c r="HE33" s="208"/>
      <c r="HF33" s="208"/>
      <c r="HG33" s="208"/>
      <c r="HH33" s="208"/>
      <c r="HI33" s="208"/>
      <c r="HJ33" s="208"/>
      <c r="HK33" s="208"/>
      <c r="HL33" s="208"/>
      <c r="HM33" s="208"/>
      <c r="HN33" s="203"/>
      <c r="HO33" s="203"/>
      <c r="HP33" s="208"/>
      <c r="HQ33" s="208"/>
      <c r="HR33" s="208"/>
      <c r="HS33" s="208"/>
      <c r="HT33" s="208"/>
      <c r="HU33" s="208"/>
      <c r="HV33" s="208"/>
      <c r="HW33" s="208"/>
      <c r="HX33" s="208"/>
      <c r="HY33" s="208"/>
      <c r="HZ33" s="208"/>
      <c r="IA33" s="203"/>
      <c r="IB33" s="203"/>
      <c r="IC33" s="208"/>
      <c r="ID33" s="208"/>
      <c r="IE33" s="208"/>
      <c r="IF33" s="208"/>
      <c r="IG33" s="208"/>
      <c r="IH33" s="208"/>
      <c r="II33" s="208"/>
      <c r="IJ33" s="208"/>
      <c r="IK33" s="208"/>
      <c r="IL33" s="208"/>
      <c r="IM33" s="208"/>
      <c r="IN33" s="203"/>
      <c r="IO33" s="203"/>
      <c r="IP33" s="208"/>
      <c r="IQ33" s="208"/>
      <c r="IR33" s="208"/>
      <c r="IS33" s="208"/>
      <c r="IT33" s="208"/>
      <c r="IU33" s="208"/>
      <c r="IV33" s="208"/>
    </row>
    <row r="34" spans="1:256" x14ac:dyDescent="0.2">
      <c r="A34" s="214"/>
      <c r="B34" s="215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6"/>
      <c r="N34" s="207"/>
      <c r="O34" s="207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03"/>
      <c r="AB34" s="203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3"/>
      <c r="AO34" s="203"/>
      <c r="AP34" s="208"/>
      <c r="AQ34" s="208"/>
      <c r="AR34" s="208"/>
      <c r="AS34" s="208"/>
      <c r="AT34" s="208"/>
      <c r="AU34" s="208"/>
      <c r="AV34" s="208"/>
      <c r="AW34" s="208"/>
      <c r="AX34" s="208"/>
      <c r="AY34" s="208"/>
      <c r="AZ34" s="208"/>
      <c r="BA34" s="203"/>
      <c r="BB34" s="203"/>
      <c r="BC34" s="208"/>
      <c r="BD34" s="208"/>
      <c r="BE34" s="208"/>
      <c r="BF34" s="208"/>
      <c r="BG34" s="208"/>
      <c r="BH34" s="208"/>
      <c r="BI34" s="208"/>
      <c r="BJ34" s="208"/>
      <c r="BK34" s="208"/>
      <c r="BL34" s="208"/>
      <c r="BM34" s="208"/>
      <c r="BN34" s="203"/>
      <c r="BO34" s="203"/>
      <c r="BP34" s="208"/>
      <c r="BQ34" s="208"/>
      <c r="BR34" s="208"/>
      <c r="BS34" s="208"/>
      <c r="BT34" s="208"/>
      <c r="BU34" s="208"/>
      <c r="BV34" s="208"/>
      <c r="BW34" s="208"/>
      <c r="BX34" s="208"/>
      <c r="BY34" s="208"/>
      <c r="BZ34" s="208"/>
      <c r="CA34" s="203"/>
      <c r="CB34" s="203"/>
      <c r="CC34" s="208"/>
      <c r="CD34" s="208"/>
      <c r="CE34" s="208"/>
      <c r="CF34" s="208"/>
      <c r="CG34" s="208"/>
      <c r="CH34" s="208"/>
      <c r="CI34" s="208"/>
      <c r="CJ34" s="208"/>
      <c r="CK34" s="208"/>
      <c r="CL34" s="208"/>
      <c r="CM34" s="208"/>
      <c r="CN34" s="203"/>
      <c r="CO34" s="203"/>
      <c r="CP34" s="208"/>
      <c r="CQ34" s="208"/>
      <c r="CR34" s="208"/>
      <c r="CS34" s="208"/>
      <c r="CT34" s="208"/>
      <c r="CU34" s="208"/>
      <c r="CV34" s="208"/>
      <c r="CW34" s="208"/>
      <c r="CX34" s="208"/>
      <c r="CY34" s="208"/>
      <c r="CZ34" s="208"/>
      <c r="DA34" s="203"/>
      <c r="DB34" s="203"/>
      <c r="DC34" s="208"/>
      <c r="DD34" s="208"/>
      <c r="DE34" s="208"/>
      <c r="DF34" s="208"/>
      <c r="DG34" s="208"/>
      <c r="DH34" s="208"/>
      <c r="DI34" s="208"/>
      <c r="DJ34" s="208"/>
      <c r="DK34" s="208"/>
      <c r="DL34" s="208"/>
      <c r="DM34" s="208"/>
      <c r="DN34" s="203"/>
      <c r="DO34" s="203"/>
      <c r="DP34" s="208"/>
      <c r="DQ34" s="208"/>
      <c r="DR34" s="208"/>
      <c r="DS34" s="208"/>
      <c r="DT34" s="208"/>
      <c r="DU34" s="208"/>
      <c r="DV34" s="208"/>
      <c r="DW34" s="208"/>
      <c r="DX34" s="208"/>
      <c r="DY34" s="208"/>
      <c r="DZ34" s="208"/>
      <c r="EA34" s="203"/>
      <c r="EB34" s="203"/>
      <c r="EC34" s="208"/>
      <c r="ED34" s="208"/>
      <c r="EE34" s="208"/>
      <c r="EF34" s="208"/>
      <c r="EG34" s="208"/>
      <c r="EH34" s="208"/>
      <c r="EI34" s="208"/>
      <c r="EJ34" s="208"/>
      <c r="EK34" s="208"/>
      <c r="EL34" s="208"/>
      <c r="EM34" s="208"/>
      <c r="EN34" s="203"/>
      <c r="EO34" s="203"/>
      <c r="EP34" s="208"/>
      <c r="EQ34" s="208"/>
      <c r="ER34" s="208"/>
      <c r="ES34" s="208"/>
      <c r="ET34" s="208"/>
      <c r="EU34" s="208"/>
      <c r="EV34" s="208"/>
      <c r="EW34" s="208"/>
      <c r="EX34" s="208"/>
      <c r="EY34" s="208"/>
      <c r="EZ34" s="208"/>
      <c r="FA34" s="203"/>
      <c r="FB34" s="203"/>
      <c r="FC34" s="208"/>
      <c r="FD34" s="208"/>
      <c r="FE34" s="208"/>
      <c r="FF34" s="208"/>
      <c r="FG34" s="208"/>
      <c r="FH34" s="208"/>
      <c r="FI34" s="208"/>
      <c r="FJ34" s="208"/>
      <c r="FK34" s="208"/>
      <c r="FL34" s="208"/>
      <c r="FM34" s="208"/>
      <c r="FN34" s="203"/>
      <c r="FO34" s="203"/>
      <c r="FP34" s="208"/>
      <c r="FQ34" s="208"/>
      <c r="FR34" s="208"/>
      <c r="FS34" s="208"/>
      <c r="FT34" s="208"/>
      <c r="FU34" s="208"/>
      <c r="FV34" s="208"/>
      <c r="FW34" s="208"/>
      <c r="FX34" s="208"/>
      <c r="FY34" s="208"/>
      <c r="FZ34" s="208"/>
      <c r="GA34" s="203"/>
      <c r="GB34" s="203"/>
      <c r="GC34" s="208"/>
      <c r="GD34" s="208"/>
      <c r="GE34" s="208"/>
      <c r="GF34" s="208"/>
      <c r="GG34" s="208"/>
      <c r="GH34" s="208"/>
      <c r="GI34" s="208"/>
      <c r="GJ34" s="208"/>
      <c r="GK34" s="208"/>
      <c r="GL34" s="208"/>
      <c r="GM34" s="208"/>
      <c r="GN34" s="203"/>
      <c r="GO34" s="203"/>
      <c r="GP34" s="208"/>
      <c r="GQ34" s="208"/>
      <c r="GR34" s="208"/>
      <c r="GS34" s="208"/>
      <c r="GT34" s="208"/>
      <c r="GU34" s="208"/>
      <c r="GV34" s="208"/>
      <c r="GW34" s="208"/>
      <c r="GX34" s="208"/>
      <c r="GY34" s="208"/>
      <c r="GZ34" s="208"/>
      <c r="HA34" s="203"/>
      <c r="HB34" s="203"/>
      <c r="HC34" s="208"/>
      <c r="HD34" s="208"/>
      <c r="HE34" s="208"/>
      <c r="HF34" s="208"/>
      <c r="HG34" s="208"/>
      <c r="HH34" s="208"/>
      <c r="HI34" s="208"/>
      <c r="HJ34" s="208"/>
      <c r="HK34" s="208"/>
      <c r="HL34" s="208"/>
      <c r="HM34" s="208"/>
      <c r="HN34" s="203"/>
      <c r="HO34" s="203"/>
      <c r="HP34" s="208"/>
      <c r="HQ34" s="208"/>
      <c r="HR34" s="208"/>
      <c r="HS34" s="208"/>
      <c r="HT34" s="208"/>
      <c r="HU34" s="208"/>
      <c r="HV34" s="208"/>
      <c r="HW34" s="208"/>
      <c r="HX34" s="208"/>
      <c r="HY34" s="208"/>
      <c r="HZ34" s="208"/>
      <c r="IA34" s="203"/>
      <c r="IB34" s="203"/>
      <c r="IC34" s="208"/>
      <c r="ID34" s="208"/>
      <c r="IE34" s="208"/>
      <c r="IF34" s="208"/>
      <c r="IG34" s="208"/>
      <c r="IH34" s="208"/>
      <c r="II34" s="208"/>
      <c r="IJ34" s="208"/>
      <c r="IK34" s="208"/>
      <c r="IL34" s="208"/>
      <c r="IM34" s="208"/>
      <c r="IN34" s="203"/>
      <c r="IO34" s="203"/>
      <c r="IP34" s="208"/>
      <c r="IQ34" s="208"/>
      <c r="IR34" s="208"/>
      <c r="IS34" s="208"/>
      <c r="IT34" s="208"/>
      <c r="IU34" s="208"/>
      <c r="IV34" s="208"/>
    </row>
    <row r="35" spans="1:256" x14ac:dyDescent="0.2">
      <c r="A35" s="214"/>
      <c r="B35" s="215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6"/>
      <c r="N35" s="207"/>
      <c r="O35" s="207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03"/>
      <c r="AB35" s="203"/>
      <c r="AC35" s="208"/>
      <c r="AD35" s="208"/>
      <c r="AE35" s="208"/>
      <c r="AF35" s="208"/>
      <c r="AG35" s="208"/>
      <c r="AH35" s="208"/>
      <c r="AI35" s="208"/>
      <c r="AJ35" s="208"/>
      <c r="AK35" s="208"/>
      <c r="AL35" s="208"/>
      <c r="AM35" s="208"/>
      <c r="AN35" s="203"/>
      <c r="AO35" s="203"/>
      <c r="AP35" s="208"/>
      <c r="AQ35" s="208"/>
      <c r="AR35" s="208"/>
      <c r="AS35" s="208"/>
      <c r="AT35" s="208"/>
      <c r="AU35" s="208"/>
      <c r="AV35" s="208"/>
      <c r="AW35" s="208"/>
      <c r="AX35" s="208"/>
      <c r="AY35" s="208"/>
      <c r="AZ35" s="208"/>
      <c r="BA35" s="203"/>
      <c r="BB35" s="203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8"/>
      <c r="BN35" s="203"/>
      <c r="BO35" s="203"/>
      <c r="BP35" s="208"/>
      <c r="BQ35" s="208"/>
      <c r="BR35" s="208"/>
      <c r="BS35" s="208"/>
      <c r="BT35" s="208"/>
      <c r="BU35" s="208"/>
      <c r="BV35" s="208"/>
      <c r="BW35" s="208"/>
      <c r="BX35" s="208"/>
      <c r="BY35" s="208"/>
      <c r="BZ35" s="208"/>
      <c r="CA35" s="203"/>
      <c r="CB35" s="203"/>
      <c r="CC35" s="208"/>
      <c r="CD35" s="208"/>
      <c r="CE35" s="208"/>
      <c r="CF35" s="208"/>
      <c r="CG35" s="208"/>
      <c r="CH35" s="208"/>
      <c r="CI35" s="208"/>
      <c r="CJ35" s="208"/>
      <c r="CK35" s="208"/>
      <c r="CL35" s="208"/>
      <c r="CM35" s="208"/>
      <c r="CN35" s="203"/>
      <c r="CO35" s="203"/>
      <c r="CP35" s="208"/>
      <c r="CQ35" s="208"/>
      <c r="CR35" s="208"/>
      <c r="CS35" s="208"/>
      <c r="CT35" s="208"/>
      <c r="CU35" s="208"/>
      <c r="CV35" s="208"/>
      <c r="CW35" s="208"/>
      <c r="CX35" s="208"/>
      <c r="CY35" s="208"/>
      <c r="CZ35" s="208"/>
      <c r="DA35" s="203"/>
      <c r="DB35" s="203"/>
      <c r="DC35" s="208"/>
      <c r="DD35" s="208"/>
      <c r="DE35" s="208"/>
      <c r="DF35" s="208"/>
      <c r="DG35" s="208"/>
      <c r="DH35" s="208"/>
      <c r="DI35" s="208"/>
      <c r="DJ35" s="208"/>
      <c r="DK35" s="208"/>
      <c r="DL35" s="208"/>
      <c r="DM35" s="208"/>
      <c r="DN35" s="203"/>
      <c r="DO35" s="203"/>
      <c r="DP35" s="208"/>
      <c r="DQ35" s="208"/>
      <c r="DR35" s="208"/>
      <c r="DS35" s="208"/>
      <c r="DT35" s="208"/>
      <c r="DU35" s="208"/>
      <c r="DV35" s="208"/>
      <c r="DW35" s="208"/>
      <c r="DX35" s="208"/>
      <c r="DY35" s="208"/>
      <c r="DZ35" s="208"/>
      <c r="EA35" s="203"/>
      <c r="EB35" s="203"/>
      <c r="EC35" s="208"/>
      <c r="ED35" s="208"/>
      <c r="EE35" s="208"/>
      <c r="EF35" s="208"/>
      <c r="EG35" s="208"/>
      <c r="EH35" s="208"/>
      <c r="EI35" s="208"/>
      <c r="EJ35" s="208"/>
      <c r="EK35" s="208"/>
      <c r="EL35" s="208"/>
      <c r="EM35" s="208"/>
      <c r="EN35" s="203"/>
      <c r="EO35" s="203"/>
      <c r="EP35" s="208"/>
      <c r="EQ35" s="208"/>
      <c r="ER35" s="208"/>
      <c r="ES35" s="208"/>
      <c r="ET35" s="208"/>
      <c r="EU35" s="208"/>
      <c r="EV35" s="208"/>
      <c r="EW35" s="208"/>
      <c r="EX35" s="208"/>
      <c r="EY35" s="208"/>
      <c r="EZ35" s="208"/>
      <c r="FA35" s="203"/>
      <c r="FB35" s="203"/>
      <c r="FC35" s="208"/>
      <c r="FD35" s="208"/>
      <c r="FE35" s="208"/>
      <c r="FF35" s="208"/>
      <c r="FG35" s="208"/>
      <c r="FH35" s="208"/>
      <c r="FI35" s="208"/>
      <c r="FJ35" s="208"/>
      <c r="FK35" s="208"/>
      <c r="FL35" s="208"/>
      <c r="FM35" s="208"/>
      <c r="FN35" s="203"/>
      <c r="FO35" s="203"/>
      <c r="FP35" s="208"/>
      <c r="FQ35" s="208"/>
      <c r="FR35" s="208"/>
      <c r="FS35" s="208"/>
      <c r="FT35" s="208"/>
      <c r="FU35" s="208"/>
      <c r="FV35" s="208"/>
      <c r="FW35" s="208"/>
      <c r="FX35" s="208"/>
      <c r="FY35" s="208"/>
      <c r="FZ35" s="208"/>
      <c r="GA35" s="203"/>
      <c r="GB35" s="203"/>
      <c r="GC35" s="208"/>
      <c r="GD35" s="208"/>
      <c r="GE35" s="208"/>
      <c r="GF35" s="208"/>
      <c r="GG35" s="208"/>
      <c r="GH35" s="208"/>
      <c r="GI35" s="208"/>
      <c r="GJ35" s="208"/>
      <c r="GK35" s="208"/>
      <c r="GL35" s="208"/>
      <c r="GM35" s="208"/>
      <c r="GN35" s="203"/>
      <c r="GO35" s="203"/>
      <c r="GP35" s="208"/>
      <c r="GQ35" s="208"/>
      <c r="GR35" s="208"/>
      <c r="GS35" s="208"/>
      <c r="GT35" s="208"/>
      <c r="GU35" s="208"/>
      <c r="GV35" s="208"/>
      <c r="GW35" s="208"/>
      <c r="GX35" s="208"/>
      <c r="GY35" s="208"/>
      <c r="GZ35" s="208"/>
      <c r="HA35" s="203"/>
      <c r="HB35" s="203"/>
      <c r="HC35" s="208"/>
      <c r="HD35" s="208"/>
      <c r="HE35" s="208"/>
      <c r="HF35" s="208"/>
      <c r="HG35" s="208"/>
      <c r="HH35" s="208"/>
      <c r="HI35" s="208"/>
      <c r="HJ35" s="208"/>
      <c r="HK35" s="208"/>
      <c r="HL35" s="208"/>
      <c r="HM35" s="208"/>
      <c r="HN35" s="203"/>
      <c r="HO35" s="203"/>
      <c r="HP35" s="208"/>
      <c r="HQ35" s="208"/>
      <c r="HR35" s="208"/>
      <c r="HS35" s="208"/>
      <c r="HT35" s="208"/>
      <c r="HU35" s="208"/>
      <c r="HV35" s="208"/>
      <c r="HW35" s="208"/>
      <c r="HX35" s="208"/>
      <c r="HY35" s="208"/>
      <c r="HZ35" s="208"/>
      <c r="IA35" s="203"/>
      <c r="IB35" s="203"/>
      <c r="IC35" s="208"/>
      <c r="ID35" s="208"/>
      <c r="IE35" s="208"/>
      <c r="IF35" s="208"/>
      <c r="IG35" s="208"/>
      <c r="IH35" s="208"/>
      <c r="II35" s="208"/>
      <c r="IJ35" s="208"/>
      <c r="IK35" s="208"/>
      <c r="IL35" s="208"/>
      <c r="IM35" s="208"/>
      <c r="IN35" s="203"/>
      <c r="IO35" s="203"/>
      <c r="IP35" s="208"/>
      <c r="IQ35" s="208"/>
      <c r="IR35" s="208"/>
      <c r="IS35" s="208"/>
      <c r="IT35" s="208"/>
      <c r="IU35" s="208"/>
      <c r="IV35" s="208"/>
    </row>
    <row r="36" spans="1:256" x14ac:dyDescent="0.2">
      <c r="A36" s="214"/>
      <c r="B36" s="215"/>
      <c r="C36" s="275"/>
      <c r="D36" s="275"/>
      <c r="E36" s="275"/>
      <c r="F36" s="275"/>
      <c r="G36" s="275"/>
      <c r="H36" s="275"/>
      <c r="I36" s="275"/>
      <c r="J36" s="275"/>
      <c r="K36" s="275"/>
      <c r="L36" s="275"/>
      <c r="M36" s="276"/>
      <c r="N36" s="207"/>
      <c r="O36" s="207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03"/>
      <c r="AB36" s="203"/>
      <c r="AC36" s="208"/>
      <c r="AD36" s="208"/>
      <c r="AE36" s="208"/>
      <c r="AF36" s="208"/>
      <c r="AG36" s="208"/>
      <c r="AH36" s="208"/>
      <c r="AI36" s="208"/>
      <c r="AJ36" s="208"/>
      <c r="AK36" s="208"/>
      <c r="AL36" s="208"/>
      <c r="AM36" s="208"/>
      <c r="AN36" s="203"/>
      <c r="AO36" s="203"/>
      <c r="AP36" s="208"/>
      <c r="AQ36" s="208"/>
      <c r="AR36" s="208"/>
      <c r="AS36" s="208"/>
      <c r="AT36" s="208"/>
      <c r="AU36" s="208"/>
      <c r="AV36" s="208"/>
      <c r="AW36" s="208"/>
      <c r="AX36" s="208"/>
      <c r="AY36" s="208"/>
      <c r="AZ36" s="208"/>
      <c r="BA36" s="203"/>
      <c r="BB36" s="203"/>
      <c r="BC36" s="208"/>
      <c r="BD36" s="208"/>
      <c r="BE36" s="208"/>
      <c r="BF36" s="208"/>
      <c r="BG36" s="208"/>
      <c r="BH36" s="208"/>
      <c r="BI36" s="208"/>
      <c r="BJ36" s="208"/>
      <c r="BK36" s="208"/>
      <c r="BL36" s="208"/>
      <c r="BM36" s="208"/>
      <c r="BN36" s="203"/>
      <c r="BO36" s="203"/>
      <c r="BP36" s="208"/>
      <c r="BQ36" s="208"/>
      <c r="BR36" s="208"/>
      <c r="BS36" s="208"/>
      <c r="BT36" s="208"/>
      <c r="BU36" s="208"/>
      <c r="BV36" s="208"/>
      <c r="BW36" s="208"/>
      <c r="BX36" s="208"/>
      <c r="BY36" s="208"/>
      <c r="BZ36" s="208"/>
      <c r="CA36" s="203"/>
      <c r="CB36" s="203"/>
      <c r="CC36" s="208"/>
      <c r="CD36" s="208"/>
      <c r="CE36" s="208"/>
      <c r="CF36" s="208"/>
      <c r="CG36" s="208"/>
      <c r="CH36" s="208"/>
      <c r="CI36" s="208"/>
      <c r="CJ36" s="208"/>
      <c r="CK36" s="208"/>
      <c r="CL36" s="208"/>
      <c r="CM36" s="208"/>
      <c r="CN36" s="203"/>
      <c r="CO36" s="203"/>
      <c r="CP36" s="208"/>
      <c r="CQ36" s="208"/>
      <c r="CR36" s="208"/>
      <c r="CS36" s="208"/>
      <c r="CT36" s="208"/>
      <c r="CU36" s="208"/>
      <c r="CV36" s="208"/>
      <c r="CW36" s="208"/>
      <c r="CX36" s="208"/>
      <c r="CY36" s="208"/>
      <c r="CZ36" s="208"/>
      <c r="DA36" s="203"/>
      <c r="DB36" s="203"/>
      <c r="DC36" s="208"/>
      <c r="DD36" s="208"/>
      <c r="DE36" s="208"/>
      <c r="DF36" s="208"/>
      <c r="DG36" s="208"/>
      <c r="DH36" s="208"/>
      <c r="DI36" s="208"/>
      <c r="DJ36" s="208"/>
      <c r="DK36" s="208"/>
      <c r="DL36" s="208"/>
      <c r="DM36" s="208"/>
      <c r="DN36" s="203"/>
      <c r="DO36" s="203"/>
      <c r="DP36" s="208"/>
      <c r="DQ36" s="208"/>
      <c r="DR36" s="208"/>
      <c r="DS36" s="208"/>
      <c r="DT36" s="208"/>
      <c r="DU36" s="208"/>
      <c r="DV36" s="208"/>
      <c r="DW36" s="208"/>
      <c r="DX36" s="208"/>
      <c r="DY36" s="208"/>
      <c r="DZ36" s="208"/>
      <c r="EA36" s="203"/>
      <c r="EB36" s="203"/>
      <c r="EC36" s="208"/>
      <c r="ED36" s="208"/>
      <c r="EE36" s="208"/>
      <c r="EF36" s="208"/>
      <c r="EG36" s="208"/>
      <c r="EH36" s="208"/>
      <c r="EI36" s="208"/>
      <c r="EJ36" s="208"/>
      <c r="EK36" s="208"/>
      <c r="EL36" s="208"/>
      <c r="EM36" s="208"/>
      <c r="EN36" s="203"/>
      <c r="EO36" s="203"/>
      <c r="EP36" s="208"/>
      <c r="EQ36" s="208"/>
      <c r="ER36" s="208"/>
      <c r="ES36" s="208"/>
      <c r="ET36" s="208"/>
      <c r="EU36" s="208"/>
      <c r="EV36" s="208"/>
      <c r="EW36" s="208"/>
      <c r="EX36" s="208"/>
      <c r="EY36" s="208"/>
      <c r="EZ36" s="208"/>
      <c r="FA36" s="203"/>
      <c r="FB36" s="203"/>
      <c r="FC36" s="208"/>
      <c r="FD36" s="208"/>
      <c r="FE36" s="208"/>
      <c r="FF36" s="208"/>
      <c r="FG36" s="208"/>
      <c r="FH36" s="208"/>
      <c r="FI36" s="208"/>
      <c r="FJ36" s="208"/>
      <c r="FK36" s="208"/>
      <c r="FL36" s="208"/>
      <c r="FM36" s="208"/>
      <c r="FN36" s="203"/>
      <c r="FO36" s="203"/>
      <c r="FP36" s="208"/>
      <c r="FQ36" s="208"/>
      <c r="FR36" s="208"/>
      <c r="FS36" s="208"/>
      <c r="FT36" s="208"/>
      <c r="FU36" s="208"/>
      <c r="FV36" s="208"/>
      <c r="FW36" s="208"/>
      <c r="FX36" s="208"/>
      <c r="FY36" s="208"/>
      <c r="FZ36" s="208"/>
      <c r="GA36" s="203"/>
      <c r="GB36" s="203"/>
      <c r="GC36" s="208"/>
      <c r="GD36" s="208"/>
      <c r="GE36" s="208"/>
      <c r="GF36" s="208"/>
      <c r="GG36" s="208"/>
      <c r="GH36" s="208"/>
      <c r="GI36" s="208"/>
      <c r="GJ36" s="208"/>
      <c r="GK36" s="208"/>
      <c r="GL36" s="208"/>
      <c r="GM36" s="208"/>
      <c r="GN36" s="203"/>
      <c r="GO36" s="203"/>
      <c r="GP36" s="208"/>
      <c r="GQ36" s="208"/>
      <c r="GR36" s="208"/>
      <c r="GS36" s="208"/>
      <c r="GT36" s="208"/>
      <c r="GU36" s="208"/>
      <c r="GV36" s="208"/>
      <c r="GW36" s="208"/>
      <c r="GX36" s="208"/>
      <c r="GY36" s="208"/>
      <c r="GZ36" s="208"/>
      <c r="HA36" s="203"/>
      <c r="HB36" s="203"/>
      <c r="HC36" s="208"/>
      <c r="HD36" s="208"/>
      <c r="HE36" s="208"/>
      <c r="HF36" s="208"/>
      <c r="HG36" s="208"/>
      <c r="HH36" s="208"/>
      <c r="HI36" s="208"/>
      <c r="HJ36" s="208"/>
      <c r="HK36" s="208"/>
      <c r="HL36" s="208"/>
      <c r="HM36" s="208"/>
      <c r="HN36" s="203"/>
      <c r="HO36" s="203"/>
      <c r="HP36" s="208"/>
      <c r="HQ36" s="208"/>
      <c r="HR36" s="208"/>
      <c r="HS36" s="208"/>
      <c r="HT36" s="208"/>
      <c r="HU36" s="208"/>
      <c r="HV36" s="208"/>
      <c r="HW36" s="208"/>
      <c r="HX36" s="208"/>
      <c r="HY36" s="208"/>
      <c r="HZ36" s="208"/>
      <c r="IA36" s="203"/>
      <c r="IB36" s="203"/>
      <c r="IC36" s="208"/>
      <c r="ID36" s="208"/>
      <c r="IE36" s="208"/>
      <c r="IF36" s="208"/>
      <c r="IG36" s="208"/>
      <c r="IH36" s="208"/>
      <c r="II36" s="208"/>
      <c r="IJ36" s="208"/>
      <c r="IK36" s="208"/>
      <c r="IL36" s="208"/>
      <c r="IM36" s="208"/>
      <c r="IN36" s="203"/>
      <c r="IO36" s="203"/>
      <c r="IP36" s="208"/>
      <c r="IQ36" s="208"/>
      <c r="IR36" s="208"/>
      <c r="IS36" s="208"/>
      <c r="IT36" s="208"/>
      <c r="IU36" s="208"/>
      <c r="IV36" s="208"/>
    </row>
    <row r="37" spans="1:256" x14ac:dyDescent="0.2">
      <c r="A37" s="214"/>
      <c r="B37" s="215"/>
      <c r="C37" s="275"/>
      <c r="D37" s="275"/>
      <c r="E37" s="275"/>
      <c r="F37" s="275"/>
      <c r="G37" s="275"/>
      <c r="H37" s="275"/>
      <c r="I37" s="275"/>
      <c r="J37" s="275"/>
      <c r="K37" s="275"/>
      <c r="L37" s="275"/>
      <c r="M37" s="276"/>
      <c r="N37" s="207"/>
      <c r="O37" s="207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03"/>
      <c r="AB37" s="203"/>
      <c r="AC37" s="208"/>
      <c r="AD37" s="208"/>
      <c r="AE37" s="208"/>
      <c r="AF37" s="208"/>
      <c r="AG37" s="208"/>
      <c r="AH37" s="208"/>
      <c r="AI37" s="208"/>
      <c r="AJ37" s="208"/>
      <c r="AK37" s="208"/>
      <c r="AL37" s="208"/>
      <c r="AM37" s="208"/>
      <c r="AN37" s="203"/>
      <c r="AO37" s="203"/>
      <c r="AP37" s="208"/>
      <c r="AQ37" s="208"/>
      <c r="AR37" s="208"/>
      <c r="AS37" s="208"/>
      <c r="AT37" s="208"/>
      <c r="AU37" s="208"/>
      <c r="AV37" s="208"/>
      <c r="AW37" s="208"/>
      <c r="AX37" s="208"/>
      <c r="AY37" s="208"/>
      <c r="AZ37" s="208"/>
      <c r="BA37" s="203"/>
      <c r="BB37" s="203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208"/>
      <c r="BN37" s="203"/>
      <c r="BO37" s="203"/>
      <c r="BP37" s="208"/>
      <c r="BQ37" s="208"/>
      <c r="BR37" s="208"/>
      <c r="BS37" s="208"/>
      <c r="BT37" s="208"/>
      <c r="BU37" s="208"/>
      <c r="BV37" s="208"/>
      <c r="BW37" s="208"/>
      <c r="BX37" s="208"/>
      <c r="BY37" s="208"/>
      <c r="BZ37" s="208"/>
      <c r="CA37" s="203"/>
      <c r="CB37" s="203"/>
      <c r="CC37" s="208"/>
      <c r="CD37" s="208"/>
      <c r="CE37" s="208"/>
      <c r="CF37" s="208"/>
      <c r="CG37" s="208"/>
      <c r="CH37" s="208"/>
      <c r="CI37" s="208"/>
      <c r="CJ37" s="208"/>
      <c r="CK37" s="208"/>
      <c r="CL37" s="208"/>
      <c r="CM37" s="208"/>
      <c r="CN37" s="203"/>
      <c r="CO37" s="203"/>
      <c r="CP37" s="208"/>
      <c r="CQ37" s="208"/>
      <c r="CR37" s="208"/>
      <c r="CS37" s="208"/>
      <c r="CT37" s="208"/>
      <c r="CU37" s="208"/>
      <c r="CV37" s="208"/>
      <c r="CW37" s="208"/>
      <c r="CX37" s="208"/>
      <c r="CY37" s="208"/>
      <c r="CZ37" s="208"/>
      <c r="DA37" s="203"/>
      <c r="DB37" s="203"/>
      <c r="DC37" s="208"/>
      <c r="DD37" s="208"/>
      <c r="DE37" s="208"/>
      <c r="DF37" s="208"/>
      <c r="DG37" s="208"/>
      <c r="DH37" s="208"/>
      <c r="DI37" s="208"/>
      <c r="DJ37" s="208"/>
      <c r="DK37" s="208"/>
      <c r="DL37" s="208"/>
      <c r="DM37" s="208"/>
      <c r="DN37" s="203"/>
      <c r="DO37" s="203"/>
      <c r="DP37" s="208"/>
      <c r="DQ37" s="208"/>
      <c r="DR37" s="208"/>
      <c r="DS37" s="208"/>
      <c r="DT37" s="208"/>
      <c r="DU37" s="208"/>
      <c r="DV37" s="208"/>
      <c r="DW37" s="208"/>
      <c r="DX37" s="208"/>
      <c r="DY37" s="208"/>
      <c r="DZ37" s="208"/>
      <c r="EA37" s="203"/>
      <c r="EB37" s="203"/>
      <c r="EC37" s="208"/>
      <c r="ED37" s="208"/>
      <c r="EE37" s="208"/>
      <c r="EF37" s="208"/>
      <c r="EG37" s="208"/>
      <c r="EH37" s="208"/>
      <c r="EI37" s="208"/>
      <c r="EJ37" s="208"/>
      <c r="EK37" s="208"/>
      <c r="EL37" s="208"/>
      <c r="EM37" s="208"/>
      <c r="EN37" s="203"/>
      <c r="EO37" s="203"/>
      <c r="EP37" s="208"/>
      <c r="EQ37" s="208"/>
      <c r="ER37" s="208"/>
      <c r="ES37" s="208"/>
      <c r="ET37" s="208"/>
      <c r="EU37" s="208"/>
      <c r="EV37" s="208"/>
      <c r="EW37" s="208"/>
      <c r="EX37" s="208"/>
      <c r="EY37" s="208"/>
      <c r="EZ37" s="208"/>
      <c r="FA37" s="203"/>
      <c r="FB37" s="203"/>
      <c r="FC37" s="208"/>
      <c r="FD37" s="208"/>
      <c r="FE37" s="208"/>
      <c r="FF37" s="208"/>
      <c r="FG37" s="208"/>
      <c r="FH37" s="208"/>
      <c r="FI37" s="208"/>
      <c r="FJ37" s="208"/>
      <c r="FK37" s="208"/>
      <c r="FL37" s="208"/>
      <c r="FM37" s="208"/>
      <c r="FN37" s="203"/>
      <c r="FO37" s="203"/>
      <c r="FP37" s="208"/>
      <c r="FQ37" s="208"/>
      <c r="FR37" s="208"/>
      <c r="FS37" s="208"/>
      <c r="FT37" s="208"/>
      <c r="FU37" s="208"/>
      <c r="FV37" s="208"/>
      <c r="FW37" s="208"/>
      <c r="FX37" s="208"/>
      <c r="FY37" s="208"/>
      <c r="FZ37" s="208"/>
      <c r="GA37" s="203"/>
      <c r="GB37" s="203"/>
      <c r="GC37" s="208"/>
      <c r="GD37" s="208"/>
      <c r="GE37" s="208"/>
      <c r="GF37" s="208"/>
      <c r="GG37" s="208"/>
      <c r="GH37" s="208"/>
      <c r="GI37" s="208"/>
      <c r="GJ37" s="208"/>
      <c r="GK37" s="208"/>
      <c r="GL37" s="208"/>
      <c r="GM37" s="208"/>
      <c r="GN37" s="203"/>
      <c r="GO37" s="203"/>
      <c r="GP37" s="208"/>
      <c r="GQ37" s="208"/>
      <c r="GR37" s="208"/>
      <c r="GS37" s="208"/>
      <c r="GT37" s="208"/>
      <c r="GU37" s="208"/>
      <c r="GV37" s="208"/>
      <c r="GW37" s="208"/>
      <c r="GX37" s="208"/>
      <c r="GY37" s="208"/>
      <c r="GZ37" s="208"/>
      <c r="HA37" s="203"/>
      <c r="HB37" s="203"/>
      <c r="HC37" s="208"/>
      <c r="HD37" s="208"/>
      <c r="HE37" s="208"/>
      <c r="HF37" s="208"/>
      <c r="HG37" s="208"/>
      <c r="HH37" s="208"/>
      <c r="HI37" s="208"/>
      <c r="HJ37" s="208"/>
      <c r="HK37" s="208"/>
      <c r="HL37" s="208"/>
      <c r="HM37" s="208"/>
      <c r="HN37" s="203"/>
      <c r="HO37" s="203"/>
      <c r="HP37" s="208"/>
      <c r="HQ37" s="208"/>
      <c r="HR37" s="208"/>
      <c r="HS37" s="208"/>
      <c r="HT37" s="208"/>
      <c r="HU37" s="208"/>
      <c r="HV37" s="208"/>
      <c r="HW37" s="208"/>
      <c r="HX37" s="208"/>
      <c r="HY37" s="208"/>
      <c r="HZ37" s="208"/>
      <c r="IA37" s="203"/>
      <c r="IB37" s="203"/>
      <c r="IC37" s="208"/>
      <c r="ID37" s="208"/>
      <c r="IE37" s="208"/>
      <c r="IF37" s="208"/>
      <c r="IG37" s="208"/>
      <c r="IH37" s="208"/>
      <c r="II37" s="208"/>
      <c r="IJ37" s="208"/>
      <c r="IK37" s="208"/>
      <c r="IL37" s="208"/>
      <c r="IM37" s="208"/>
      <c r="IN37" s="203"/>
      <c r="IO37" s="203"/>
      <c r="IP37" s="208"/>
      <c r="IQ37" s="208"/>
      <c r="IR37" s="208"/>
      <c r="IS37" s="208"/>
      <c r="IT37" s="208"/>
      <c r="IU37" s="208"/>
      <c r="IV37" s="208"/>
    </row>
    <row r="38" spans="1:256" x14ac:dyDescent="0.2">
      <c r="A38" s="214"/>
      <c r="B38" s="215"/>
      <c r="C38" s="275"/>
      <c r="D38" s="275"/>
      <c r="E38" s="275"/>
      <c r="F38" s="275"/>
      <c r="G38" s="275"/>
      <c r="H38" s="275"/>
      <c r="I38" s="275"/>
      <c r="J38" s="275"/>
      <c r="K38" s="275"/>
      <c r="L38" s="275"/>
      <c r="M38" s="276"/>
      <c r="N38" s="207"/>
      <c r="O38" s="207"/>
      <c r="P38" s="278"/>
      <c r="Q38" s="278"/>
      <c r="R38" s="278"/>
      <c r="S38" s="278"/>
      <c r="T38" s="278"/>
      <c r="U38" s="278"/>
      <c r="V38" s="278"/>
      <c r="W38" s="278"/>
      <c r="X38" s="278"/>
      <c r="Y38" s="278"/>
      <c r="Z38" s="278"/>
      <c r="AA38" s="203"/>
      <c r="AB38" s="203"/>
      <c r="AC38" s="277"/>
      <c r="AD38" s="277"/>
      <c r="AE38" s="277"/>
      <c r="AF38" s="277"/>
      <c r="AG38" s="277"/>
      <c r="AH38" s="277"/>
      <c r="AI38" s="277"/>
      <c r="AJ38" s="277"/>
      <c r="AK38" s="277"/>
      <c r="AL38" s="277"/>
      <c r="AM38" s="277"/>
      <c r="AN38" s="203"/>
      <c r="AO38" s="203"/>
      <c r="AP38" s="277"/>
      <c r="AQ38" s="277"/>
      <c r="AR38" s="277"/>
      <c r="AS38" s="277"/>
      <c r="AT38" s="277"/>
      <c r="AU38" s="277"/>
      <c r="AV38" s="277"/>
      <c r="AW38" s="277"/>
      <c r="AX38" s="277"/>
      <c r="AY38" s="277"/>
      <c r="AZ38" s="277"/>
      <c r="BA38" s="203"/>
      <c r="BB38" s="203"/>
      <c r="BC38" s="277"/>
      <c r="BD38" s="277"/>
      <c r="BE38" s="277"/>
      <c r="BF38" s="277"/>
      <c r="BG38" s="277"/>
      <c r="BH38" s="277"/>
      <c r="BI38" s="277"/>
      <c r="BJ38" s="277"/>
      <c r="BK38" s="277"/>
      <c r="BL38" s="277"/>
      <c r="BM38" s="277"/>
      <c r="BN38" s="203"/>
      <c r="BO38" s="203"/>
      <c r="BP38" s="277"/>
      <c r="BQ38" s="277"/>
      <c r="BR38" s="277"/>
      <c r="BS38" s="277"/>
      <c r="BT38" s="277"/>
      <c r="BU38" s="277"/>
      <c r="BV38" s="277"/>
      <c r="BW38" s="277"/>
      <c r="BX38" s="277"/>
      <c r="BY38" s="277"/>
      <c r="BZ38" s="277"/>
      <c r="CA38" s="203"/>
      <c r="CB38" s="203"/>
      <c r="CC38" s="277"/>
      <c r="CD38" s="277"/>
      <c r="CE38" s="277"/>
      <c r="CF38" s="277"/>
      <c r="CG38" s="277"/>
      <c r="CH38" s="277"/>
      <c r="CI38" s="277"/>
      <c r="CJ38" s="277"/>
      <c r="CK38" s="277"/>
      <c r="CL38" s="277"/>
      <c r="CM38" s="277"/>
      <c r="CN38" s="203"/>
      <c r="CO38" s="203"/>
      <c r="CP38" s="277"/>
      <c r="CQ38" s="277"/>
      <c r="CR38" s="277"/>
      <c r="CS38" s="277"/>
      <c r="CT38" s="277"/>
      <c r="CU38" s="277"/>
      <c r="CV38" s="277"/>
      <c r="CW38" s="277"/>
      <c r="CX38" s="277"/>
      <c r="CY38" s="277"/>
      <c r="CZ38" s="277"/>
      <c r="DA38" s="203"/>
      <c r="DB38" s="203"/>
      <c r="DC38" s="277"/>
      <c r="DD38" s="277"/>
      <c r="DE38" s="277"/>
      <c r="DF38" s="277"/>
      <c r="DG38" s="277"/>
      <c r="DH38" s="277"/>
      <c r="DI38" s="277"/>
      <c r="DJ38" s="277"/>
      <c r="DK38" s="277"/>
      <c r="DL38" s="277"/>
      <c r="DM38" s="277"/>
      <c r="DN38" s="203"/>
      <c r="DO38" s="203"/>
      <c r="DP38" s="277"/>
      <c r="DQ38" s="277"/>
      <c r="DR38" s="277"/>
      <c r="DS38" s="277"/>
      <c r="DT38" s="277"/>
      <c r="DU38" s="277"/>
      <c r="DV38" s="277"/>
      <c r="DW38" s="277"/>
      <c r="DX38" s="277"/>
      <c r="DY38" s="277"/>
      <c r="DZ38" s="277"/>
      <c r="EA38" s="203"/>
      <c r="EB38" s="203"/>
      <c r="EC38" s="277"/>
      <c r="ED38" s="277"/>
      <c r="EE38" s="277"/>
      <c r="EF38" s="277"/>
      <c r="EG38" s="277"/>
      <c r="EH38" s="277"/>
      <c r="EI38" s="277"/>
      <c r="EJ38" s="277"/>
      <c r="EK38" s="277"/>
      <c r="EL38" s="277"/>
      <c r="EM38" s="277"/>
      <c r="EN38" s="203"/>
      <c r="EO38" s="203"/>
      <c r="EP38" s="277"/>
      <c r="EQ38" s="277"/>
      <c r="ER38" s="277"/>
      <c r="ES38" s="277"/>
      <c r="ET38" s="277"/>
      <c r="EU38" s="277"/>
      <c r="EV38" s="277"/>
      <c r="EW38" s="277"/>
      <c r="EX38" s="277"/>
      <c r="EY38" s="277"/>
      <c r="EZ38" s="277"/>
      <c r="FA38" s="203"/>
      <c r="FB38" s="203"/>
      <c r="FC38" s="277"/>
      <c r="FD38" s="277"/>
      <c r="FE38" s="277"/>
      <c r="FF38" s="277"/>
      <c r="FG38" s="277"/>
      <c r="FH38" s="277"/>
      <c r="FI38" s="277"/>
      <c r="FJ38" s="277"/>
      <c r="FK38" s="277"/>
      <c r="FL38" s="277"/>
      <c r="FM38" s="277"/>
      <c r="FN38" s="203"/>
      <c r="FO38" s="203"/>
      <c r="FP38" s="277"/>
      <c r="FQ38" s="277"/>
      <c r="FR38" s="277"/>
      <c r="FS38" s="277"/>
      <c r="FT38" s="277"/>
      <c r="FU38" s="277"/>
      <c r="FV38" s="277"/>
      <c r="FW38" s="277"/>
      <c r="FX38" s="277"/>
      <c r="FY38" s="277"/>
      <c r="FZ38" s="277"/>
      <c r="GA38" s="203"/>
      <c r="GB38" s="203"/>
      <c r="GC38" s="277"/>
      <c r="GD38" s="277"/>
      <c r="GE38" s="277"/>
      <c r="GF38" s="277"/>
      <c r="GG38" s="277"/>
      <c r="GH38" s="277"/>
      <c r="GI38" s="277"/>
      <c r="GJ38" s="277"/>
      <c r="GK38" s="277"/>
      <c r="GL38" s="277"/>
      <c r="GM38" s="277"/>
      <c r="GN38" s="203"/>
      <c r="GO38" s="203"/>
      <c r="GP38" s="277"/>
      <c r="GQ38" s="277"/>
      <c r="GR38" s="277"/>
      <c r="GS38" s="277"/>
      <c r="GT38" s="277"/>
      <c r="GU38" s="277"/>
      <c r="GV38" s="277"/>
      <c r="GW38" s="277"/>
      <c r="GX38" s="277"/>
      <c r="GY38" s="277"/>
      <c r="GZ38" s="277"/>
      <c r="HA38" s="203"/>
      <c r="HB38" s="203"/>
      <c r="HC38" s="277"/>
      <c r="HD38" s="277"/>
      <c r="HE38" s="277"/>
      <c r="HF38" s="277"/>
      <c r="HG38" s="277"/>
      <c r="HH38" s="277"/>
      <c r="HI38" s="277"/>
      <c r="HJ38" s="277"/>
      <c r="HK38" s="277"/>
      <c r="HL38" s="277"/>
      <c r="HM38" s="277"/>
      <c r="HN38" s="203"/>
      <c r="HO38" s="203"/>
      <c r="HP38" s="277"/>
      <c r="HQ38" s="277"/>
      <c r="HR38" s="277"/>
      <c r="HS38" s="277"/>
      <c r="HT38" s="277"/>
      <c r="HU38" s="277"/>
      <c r="HV38" s="277"/>
      <c r="HW38" s="277"/>
      <c r="HX38" s="277"/>
      <c r="HY38" s="277"/>
      <c r="HZ38" s="277"/>
      <c r="IA38" s="203"/>
      <c r="IB38" s="203"/>
      <c r="IC38" s="277"/>
      <c r="ID38" s="277"/>
      <c r="IE38" s="277"/>
      <c r="IF38" s="277"/>
      <c r="IG38" s="277"/>
      <c r="IH38" s="277"/>
      <c r="II38" s="277"/>
      <c r="IJ38" s="277"/>
      <c r="IK38" s="277"/>
      <c r="IL38" s="277"/>
      <c r="IM38" s="277"/>
      <c r="IN38" s="203"/>
      <c r="IO38" s="203"/>
      <c r="IP38" s="277"/>
      <c r="IQ38" s="277"/>
      <c r="IR38" s="277"/>
      <c r="IS38" s="277"/>
      <c r="IT38" s="277"/>
      <c r="IU38" s="277"/>
      <c r="IV38" s="277"/>
    </row>
    <row r="39" spans="1:256" x14ac:dyDescent="0.2">
      <c r="A39" s="214"/>
      <c r="B39" s="215"/>
      <c r="C39" s="275"/>
      <c r="D39" s="275"/>
      <c r="E39" s="275"/>
      <c r="F39" s="275"/>
      <c r="G39" s="275"/>
      <c r="H39" s="275"/>
      <c r="I39" s="275"/>
      <c r="J39" s="275"/>
      <c r="K39" s="275"/>
      <c r="L39" s="275"/>
      <c r="M39" s="276"/>
      <c r="N39" s="207"/>
      <c r="O39" s="207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03"/>
      <c r="AB39" s="203"/>
      <c r="AC39" s="277"/>
      <c r="AD39" s="277"/>
      <c r="AE39" s="277"/>
      <c r="AF39" s="277"/>
      <c r="AG39" s="277"/>
      <c r="AH39" s="277"/>
      <c r="AI39" s="277"/>
      <c r="AJ39" s="277"/>
      <c r="AK39" s="277"/>
      <c r="AL39" s="277"/>
      <c r="AM39" s="277"/>
      <c r="AN39" s="203"/>
      <c r="AO39" s="203"/>
      <c r="AP39" s="277"/>
      <c r="AQ39" s="277"/>
      <c r="AR39" s="277"/>
      <c r="AS39" s="277"/>
      <c r="AT39" s="277"/>
      <c r="AU39" s="277"/>
      <c r="AV39" s="277"/>
      <c r="AW39" s="277"/>
      <c r="AX39" s="277"/>
      <c r="AY39" s="277"/>
      <c r="AZ39" s="277"/>
      <c r="BA39" s="203"/>
      <c r="BB39" s="203"/>
      <c r="BC39" s="277"/>
      <c r="BD39" s="277"/>
      <c r="BE39" s="277"/>
      <c r="BF39" s="277"/>
      <c r="BG39" s="277"/>
      <c r="BH39" s="277"/>
      <c r="BI39" s="277"/>
      <c r="BJ39" s="277"/>
      <c r="BK39" s="277"/>
      <c r="BL39" s="277"/>
      <c r="BM39" s="277"/>
      <c r="BN39" s="203"/>
      <c r="BO39" s="203"/>
      <c r="BP39" s="277"/>
      <c r="BQ39" s="277"/>
      <c r="BR39" s="277"/>
      <c r="BS39" s="277"/>
      <c r="BT39" s="277"/>
      <c r="BU39" s="277"/>
      <c r="BV39" s="277"/>
      <c r="BW39" s="277"/>
      <c r="BX39" s="277"/>
      <c r="BY39" s="277"/>
      <c r="BZ39" s="277"/>
      <c r="CA39" s="203"/>
      <c r="CB39" s="203"/>
      <c r="CC39" s="277"/>
      <c r="CD39" s="277"/>
      <c r="CE39" s="277"/>
      <c r="CF39" s="277"/>
      <c r="CG39" s="277"/>
      <c r="CH39" s="277"/>
      <c r="CI39" s="277"/>
      <c r="CJ39" s="277"/>
      <c r="CK39" s="277"/>
      <c r="CL39" s="277"/>
      <c r="CM39" s="277"/>
      <c r="CN39" s="203"/>
      <c r="CO39" s="203"/>
      <c r="CP39" s="277"/>
      <c r="CQ39" s="277"/>
      <c r="CR39" s="277"/>
      <c r="CS39" s="277"/>
      <c r="CT39" s="277"/>
      <c r="CU39" s="277"/>
      <c r="CV39" s="277"/>
      <c r="CW39" s="277"/>
      <c r="CX39" s="277"/>
      <c r="CY39" s="277"/>
      <c r="CZ39" s="277"/>
      <c r="DA39" s="203"/>
      <c r="DB39" s="203"/>
      <c r="DC39" s="277"/>
      <c r="DD39" s="277"/>
      <c r="DE39" s="277"/>
      <c r="DF39" s="277"/>
      <c r="DG39" s="277"/>
      <c r="DH39" s="277"/>
      <c r="DI39" s="277"/>
      <c r="DJ39" s="277"/>
      <c r="DK39" s="277"/>
      <c r="DL39" s="277"/>
      <c r="DM39" s="277"/>
      <c r="DN39" s="203"/>
      <c r="DO39" s="203"/>
      <c r="DP39" s="277"/>
      <c r="DQ39" s="277"/>
      <c r="DR39" s="277"/>
      <c r="DS39" s="277"/>
      <c r="DT39" s="277"/>
      <c r="DU39" s="277"/>
      <c r="DV39" s="277"/>
      <c r="DW39" s="277"/>
      <c r="DX39" s="277"/>
      <c r="DY39" s="277"/>
      <c r="DZ39" s="277"/>
      <c r="EA39" s="203"/>
      <c r="EB39" s="203"/>
      <c r="EC39" s="277"/>
      <c r="ED39" s="277"/>
      <c r="EE39" s="277"/>
      <c r="EF39" s="277"/>
      <c r="EG39" s="277"/>
      <c r="EH39" s="277"/>
      <c r="EI39" s="277"/>
      <c r="EJ39" s="277"/>
      <c r="EK39" s="277"/>
      <c r="EL39" s="277"/>
      <c r="EM39" s="277"/>
      <c r="EN39" s="203"/>
      <c r="EO39" s="203"/>
      <c r="EP39" s="277"/>
      <c r="EQ39" s="277"/>
      <c r="ER39" s="277"/>
      <c r="ES39" s="277"/>
      <c r="ET39" s="277"/>
      <c r="EU39" s="277"/>
      <c r="EV39" s="277"/>
      <c r="EW39" s="277"/>
      <c r="EX39" s="277"/>
      <c r="EY39" s="277"/>
      <c r="EZ39" s="277"/>
      <c r="FA39" s="203"/>
      <c r="FB39" s="203"/>
      <c r="FC39" s="277"/>
      <c r="FD39" s="277"/>
      <c r="FE39" s="277"/>
      <c r="FF39" s="277"/>
      <c r="FG39" s="277"/>
      <c r="FH39" s="277"/>
      <c r="FI39" s="277"/>
      <c r="FJ39" s="277"/>
      <c r="FK39" s="277"/>
      <c r="FL39" s="277"/>
      <c r="FM39" s="277"/>
      <c r="FN39" s="203"/>
      <c r="FO39" s="203"/>
      <c r="FP39" s="277"/>
      <c r="FQ39" s="277"/>
      <c r="FR39" s="277"/>
      <c r="FS39" s="277"/>
      <c r="FT39" s="277"/>
      <c r="FU39" s="277"/>
      <c r="FV39" s="277"/>
      <c r="FW39" s="277"/>
      <c r="FX39" s="277"/>
      <c r="FY39" s="277"/>
      <c r="FZ39" s="277"/>
      <c r="GA39" s="203"/>
      <c r="GB39" s="203"/>
      <c r="GC39" s="277"/>
      <c r="GD39" s="277"/>
      <c r="GE39" s="277"/>
      <c r="GF39" s="277"/>
      <c r="GG39" s="277"/>
      <c r="GH39" s="277"/>
      <c r="GI39" s="277"/>
      <c r="GJ39" s="277"/>
      <c r="GK39" s="277"/>
      <c r="GL39" s="277"/>
      <c r="GM39" s="277"/>
      <c r="GN39" s="203"/>
      <c r="GO39" s="203"/>
      <c r="GP39" s="277"/>
      <c r="GQ39" s="277"/>
      <c r="GR39" s="277"/>
      <c r="GS39" s="277"/>
      <c r="GT39" s="277"/>
      <c r="GU39" s="277"/>
      <c r="GV39" s="277"/>
      <c r="GW39" s="277"/>
      <c r="GX39" s="277"/>
      <c r="GY39" s="277"/>
      <c r="GZ39" s="277"/>
      <c r="HA39" s="203"/>
      <c r="HB39" s="203"/>
      <c r="HC39" s="277"/>
      <c r="HD39" s="277"/>
      <c r="HE39" s="277"/>
      <c r="HF39" s="277"/>
      <c r="HG39" s="277"/>
      <c r="HH39" s="277"/>
      <c r="HI39" s="277"/>
      <c r="HJ39" s="277"/>
      <c r="HK39" s="277"/>
      <c r="HL39" s="277"/>
      <c r="HM39" s="277"/>
      <c r="HN39" s="203"/>
      <c r="HO39" s="203"/>
      <c r="HP39" s="277"/>
      <c r="HQ39" s="277"/>
      <c r="HR39" s="277"/>
      <c r="HS39" s="277"/>
      <c r="HT39" s="277"/>
      <c r="HU39" s="277"/>
      <c r="HV39" s="277"/>
      <c r="HW39" s="277"/>
      <c r="HX39" s="277"/>
      <c r="HY39" s="277"/>
      <c r="HZ39" s="277"/>
      <c r="IA39" s="203"/>
      <c r="IB39" s="203"/>
      <c r="IC39" s="277"/>
      <c r="ID39" s="277"/>
      <c r="IE39" s="277"/>
      <c r="IF39" s="277"/>
      <c r="IG39" s="277"/>
      <c r="IH39" s="277"/>
      <c r="II39" s="277"/>
      <c r="IJ39" s="277"/>
      <c r="IK39" s="277"/>
      <c r="IL39" s="277"/>
      <c r="IM39" s="277"/>
      <c r="IN39" s="203"/>
      <c r="IO39" s="203"/>
      <c r="IP39" s="277"/>
      <c r="IQ39" s="277"/>
      <c r="IR39" s="277"/>
      <c r="IS39" s="277"/>
      <c r="IT39" s="277"/>
      <c r="IU39" s="277"/>
      <c r="IV39" s="277"/>
    </row>
    <row r="40" spans="1:256" x14ac:dyDescent="0.2">
      <c r="A40" s="214"/>
      <c r="B40" s="215"/>
      <c r="C40" s="275"/>
      <c r="D40" s="275"/>
      <c r="E40" s="275"/>
      <c r="F40" s="275"/>
      <c r="G40" s="275"/>
      <c r="H40" s="275"/>
      <c r="I40" s="275"/>
      <c r="J40" s="275"/>
      <c r="K40" s="275"/>
      <c r="L40" s="275"/>
      <c r="M40" s="276"/>
      <c r="N40" s="207"/>
      <c r="O40" s="207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03"/>
      <c r="AB40" s="203"/>
      <c r="AC40" s="277"/>
      <c r="AD40" s="277"/>
      <c r="AE40" s="277"/>
      <c r="AF40" s="277"/>
      <c r="AG40" s="277"/>
      <c r="AH40" s="277"/>
      <c r="AI40" s="277"/>
      <c r="AJ40" s="277"/>
      <c r="AK40" s="277"/>
      <c r="AL40" s="277"/>
      <c r="AM40" s="277"/>
      <c r="AN40" s="203"/>
      <c r="AO40" s="203"/>
      <c r="AP40" s="277"/>
      <c r="AQ40" s="277"/>
      <c r="AR40" s="277"/>
      <c r="AS40" s="277"/>
      <c r="AT40" s="277"/>
      <c r="AU40" s="277"/>
      <c r="AV40" s="277"/>
      <c r="AW40" s="277"/>
      <c r="AX40" s="277"/>
      <c r="AY40" s="277"/>
      <c r="AZ40" s="277"/>
      <c r="BA40" s="203"/>
      <c r="BB40" s="203"/>
      <c r="BC40" s="277"/>
      <c r="BD40" s="277"/>
      <c r="BE40" s="277"/>
      <c r="BF40" s="277"/>
      <c r="BG40" s="277"/>
      <c r="BH40" s="277"/>
      <c r="BI40" s="277"/>
      <c r="BJ40" s="277"/>
      <c r="BK40" s="277"/>
      <c r="BL40" s="277"/>
      <c r="BM40" s="277"/>
      <c r="BN40" s="203"/>
      <c r="BO40" s="203"/>
      <c r="BP40" s="277"/>
      <c r="BQ40" s="277"/>
      <c r="BR40" s="277"/>
      <c r="BS40" s="277"/>
      <c r="BT40" s="277"/>
      <c r="BU40" s="277"/>
      <c r="BV40" s="277"/>
      <c r="BW40" s="277"/>
      <c r="BX40" s="277"/>
      <c r="BY40" s="277"/>
      <c r="BZ40" s="277"/>
      <c r="CA40" s="203"/>
      <c r="CB40" s="203"/>
      <c r="CC40" s="277"/>
      <c r="CD40" s="277"/>
      <c r="CE40" s="277"/>
      <c r="CF40" s="277"/>
      <c r="CG40" s="277"/>
      <c r="CH40" s="277"/>
      <c r="CI40" s="277"/>
      <c r="CJ40" s="277"/>
      <c r="CK40" s="277"/>
      <c r="CL40" s="277"/>
      <c r="CM40" s="277"/>
      <c r="CN40" s="203"/>
      <c r="CO40" s="203"/>
      <c r="CP40" s="277"/>
      <c r="CQ40" s="277"/>
      <c r="CR40" s="277"/>
      <c r="CS40" s="277"/>
      <c r="CT40" s="277"/>
      <c r="CU40" s="277"/>
      <c r="CV40" s="277"/>
      <c r="CW40" s="277"/>
      <c r="CX40" s="277"/>
      <c r="CY40" s="277"/>
      <c r="CZ40" s="277"/>
      <c r="DA40" s="203"/>
      <c r="DB40" s="203"/>
      <c r="DC40" s="277"/>
      <c r="DD40" s="277"/>
      <c r="DE40" s="277"/>
      <c r="DF40" s="277"/>
      <c r="DG40" s="277"/>
      <c r="DH40" s="277"/>
      <c r="DI40" s="277"/>
      <c r="DJ40" s="277"/>
      <c r="DK40" s="277"/>
      <c r="DL40" s="277"/>
      <c r="DM40" s="277"/>
      <c r="DN40" s="203"/>
      <c r="DO40" s="203"/>
      <c r="DP40" s="277"/>
      <c r="DQ40" s="277"/>
      <c r="DR40" s="277"/>
      <c r="DS40" s="277"/>
      <c r="DT40" s="277"/>
      <c r="DU40" s="277"/>
      <c r="DV40" s="277"/>
      <c r="DW40" s="277"/>
      <c r="DX40" s="277"/>
      <c r="DY40" s="277"/>
      <c r="DZ40" s="277"/>
      <c r="EA40" s="203"/>
      <c r="EB40" s="203"/>
      <c r="EC40" s="277"/>
      <c r="ED40" s="277"/>
      <c r="EE40" s="277"/>
      <c r="EF40" s="277"/>
      <c r="EG40" s="277"/>
      <c r="EH40" s="277"/>
      <c r="EI40" s="277"/>
      <c r="EJ40" s="277"/>
      <c r="EK40" s="277"/>
      <c r="EL40" s="277"/>
      <c r="EM40" s="277"/>
      <c r="EN40" s="203"/>
      <c r="EO40" s="203"/>
      <c r="EP40" s="277"/>
      <c r="EQ40" s="277"/>
      <c r="ER40" s="277"/>
      <c r="ES40" s="277"/>
      <c r="ET40" s="277"/>
      <c r="EU40" s="277"/>
      <c r="EV40" s="277"/>
      <c r="EW40" s="277"/>
      <c r="EX40" s="277"/>
      <c r="EY40" s="277"/>
      <c r="EZ40" s="277"/>
      <c r="FA40" s="203"/>
      <c r="FB40" s="203"/>
      <c r="FC40" s="277"/>
      <c r="FD40" s="277"/>
      <c r="FE40" s="277"/>
      <c r="FF40" s="277"/>
      <c r="FG40" s="277"/>
      <c r="FH40" s="277"/>
      <c r="FI40" s="277"/>
      <c r="FJ40" s="277"/>
      <c r="FK40" s="277"/>
      <c r="FL40" s="277"/>
      <c r="FM40" s="277"/>
      <c r="FN40" s="203"/>
      <c r="FO40" s="203"/>
      <c r="FP40" s="277"/>
      <c r="FQ40" s="277"/>
      <c r="FR40" s="277"/>
      <c r="FS40" s="277"/>
      <c r="FT40" s="277"/>
      <c r="FU40" s="277"/>
      <c r="FV40" s="277"/>
      <c r="FW40" s="277"/>
      <c r="FX40" s="277"/>
      <c r="FY40" s="277"/>
      <c r="FZ40" s="277"/>
      <c r="GA40" s="203"/>
      <c r="GB40" s="203"/>
      <c r="GC40" s="277"/>
      <c r="GD40" s="277"/>
      <c r="GE40" s="277"/>
      <c r="GF40" s="277"/>
      <c r="GG40" s="277"/>
      <c r="GH40" s="277"/>
      <c r="GI40" s="277"/>
      <c r="GJ40" s="277"/>
      <c r="GK40" s="277"/>
      <c r="GL40" s="277"/>
      <c r="GM40" s="277"/>
      <c r="GN40" s="203"/>
      <c r="GO40" s="203"/>
      <c r="GP40" s="277"/>
      <c r="GQ40" s="277"/>
      <c r="GR40" s="277"/>
      <c r="GS40" s="277"/>
      <c r="GT40" s="277"/>
      <c r="GU40" s="277"/>
      <c r="GV40" s="277"/>
      <c r="GW40" s="277"/>
      <c r="GX40" s="277"/>
      <c r="GY40" s="277"/>
      <c r="GZ40" s="277"/>
      <c r="HA40" s="203"/>
      <c r="HB40" s="203"/>
      <c r="HC40" s="277"/>
      <c r="HD40" s="277"/>
      <c r="HE40" s="277"/>
      <c r="HF40" s="277"/>
      <c r="HG40" s="277"/>
      <c r="HH40" s="277"/>
      <c r="HI40" s="277"/>
      <c r="HJ40" s="277"/>
      <c r="HK40" s="277"/>
      <c r="HL40" s="277"/>
      <c r="HM40" s="277"/>
      <c r="HN40" s="203"/>
      <c r="HO40" s="203"/>
      <c r="HP40" s="277"/>
      <c r="HQ40" s="277"/>
      <c r="HR40" s="277"/>
      <c r="HS40" s="277"/>
      <c r="HT40" s="277"/>
      <c r="HU40" s="277"/>
      <c r="HV40" s="277"/>
      <c r="HW40" s="277"/>
      <c r="HX40" s="277"/>
      <c r="HY40" s="277"/>
      <c r="HZ40" s="277"/>
      <c r="IA40" s="203"/>
      <c r="IB40" s="203"/>
      <c r="IC40" s="277"/>
      <c r="ID40" s="277"/>
      <c r="IE40" s="277"/>
      <c r="IF40" s="277"/>
      <c r="IG40" s="277"/>
      <c r="IH40" s="277"/>
      <c r="II40" s="277"/>
      <c r="IJ40" s="277"/>
      <c r="IK40" s="277"/>
      <c r="IL40" s="277"/>
      <c r="IM40" s="277"/>
      <c r="IN40" s="203"/>
      <c r="IO40" s="203"/>
      <c r="IP40" s="277"/>
      <c r="IQ40" s="277"/>
      <c r="IR40" s="277"/>
      <c r="IS40" s="277"/>
      <c r="IT40" s="277"/>
      <c r="IU40" s="277"/>
      <c r="IV40" s="277"/>
    </row>
    <row r="41" spans="1:256" x14ac:dyDescent="0.2">
      <c r="A41" s="214"/>
      <c r="B41" s="215"/>
      <c r="C41" s="275"/>
      <c r="D41" s="275"/>
      <c r="E41" s="275"/>
      <c r="F41" s="275"/>
      <c r="G41" s="275"/>
      <c r="H41" s="275"/>
      <c r="I41" s="275"/>
      <c r="J41" s="275"/>
      <c r="K41" s="275"/>
      <c r="L41" s="275"/>
      <c r="M41" s="276"/>
      <c r="N41" s="207"/>
      <c r="O41" s="207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03"/>
      <c r="AB41" s="203"/>
      <c r="AC41" s="208"/>
      <c r="AD41" s="208"/>
      <c r="AE41" s="208"/>
      <c r="AF41" s="208"/>
      <c r="AG41" s="208"/>
      <c r="AH41" s="208"/>
      <c r="AI41" s="208"/>
      <c r="AJ41" s="208"/>
      <c r="AK41" s="208"/>
      <c r="AL41" s="208"/>
      <c r="AM41" s="208"/>
      <c r="AN41" s="203"/>
      <c r="AO41" s="203"/>
      <c r="AP41" s="208"/>
      <c r="AQ41" s="208"/>
      <c r="AR41" s="208"/>
      <c r="AS41" s="208"/>
      <c r="AT41" s="208"/>
      <c r="AU41" s="208"/>
      <c r="AV41" s="208"/>
      <c r="AW41" s="208"/>
      <c r="AX41" s="208"/>
      <c r="AY41" s="208"/>
      <c r="AZ41" s="208"/>
      <c r="BA41" s="203"/>
      <c r="BB41" s="203"/>
      <c r="BC41" s="208"/>
      <c r="BD41" s="208"/>
      <c r="BE41" s="208"/>
      <c r="BF41" s="208"/>
      <c r="BG41" s="208"/>
      <c r="BH41" s="208"/>
      <c r="BI41" s="208"/>
      <c r="BJ41" s="208"/>
      <c r="BK41" s="208"/>
      <c r="BL41" s="208"/>
      <c r="BM41" s="208"/>
      <c r="BN41" s="203"/>
      <c r="BO41" s="203"/>
      <c r="BP41" s="208"/>
      <c r="BQ41" s="208"/>
      <c r="BR41" s="208"/>
      <c r="BS41" s="208"/>
      <c r="BT41" s="208"/>
      <c r="BU41" s="208"/>
      <c r="BV41" s="208"/>
      <c r="BW41" s="208"/>
      <c r="BX41" s="208"/>
      <c r="BY41" s="208"/>
      <c r="BZ41" s="208"/>
      <c r="CA41" s="203"/>
      <c r="CB41" s="203"/>
      <c r="CC41" s="208"/>
      <c r="CD41" s="208"/>
      <c r="CE41" s="208"/>
      <c r="CF41" s="208"/>
      <c r="CG41" s="208"/>
      <c r="CH41" s="208"/>
      <c r="CI41" s="208"/>
      <c r="CJ41" s="208"/>
      <c r="CK41" s="208"/>
      <c r="CL41" s="208"/>
      <c r="CM41" s="208"/>
      <c r="CN41" s="203"/>
      <c r="CO41" s="203"/>
      <c r="CP41" s="208"/>
      <c r="CQ41" s="208"/>
      <c r="CR41" s="208"/>
      <c r="CS41" s="208"/>
      <c r="CT41" s="208"/>
      <c r="CU41" s="208"/>
      <c r="CV41" s="208"/>
      <c r="CW41" s="208"/>
      <c r="CX41" s="208"/>
      <c r="CY41" s="208"/>
      <c r="CZ41" s="208"/>
      <c r="DA41" s="203"/>
      <c r="DB41" s="203"/>
      <c r="DC41" s="208"/>
      <c r="DD41" s="208"/>
      <c r="DE41" s="208"/>
      <c r="DF41" s="208"/>
      <c r="DG41" s="208"/>
      <c r="DH41" s="208"/>
      <c r="DI41" s="208"/>
      <c r="DJ41" s="208"/>
      <c r="DK41" s="208"/>
      <c r="DL41" s="208"/>
      <c r="DM41" s="208"/>
      <c r="DN41" s="203"/>
      <c r="DO41" s="203"/>
      <c r="DP41" s="208"/>
      <c r="DQ41" s="208"/>
      <c r="DR41" s="208"/>
      <c r="DS41" s="208"/>
      <c r="DT41" s="208"/>
      <c r="DU41" s="208"/>
      <c r="DV41" s="208"/>
      <c r="DW41" s="208"/>
      <c r="DX41" s="208"/>
      <c r="DY41" s="208"/>
      <c r="DZ41" s="208"/>
      <c r="EA41" s="203"/>
      <c r="EB41" s="203"/>
      <c r="EC41" s="208"/>
      <c r="ED41" s="208"/>
      <c r="EE41" s="208"/>
      <c r="EF41" s="208"/>
      <c r="EG41" s="208"/>
      <c r="EH41" s="208"/>
      <c r="EI41" s="208"/>
      <c r="EJ41" s="208"/>
      <c r="EK41" s="208"/>
      <c r="EL41" s="208"/>
      <c r="EM41" s="208"/>
      <c r="EN41" s="203"/>
      <c r="EO41" s="203"/>
      <c r="EP41" s="208"/>
      <c r="EQ41" s="208"/>
      <c r="ER41" s="208"/>
      <c r="ES41" s="208"/>
      <c r="ET41" s="208"/>
      <c r="EU41" s="208"/>
      <c r="EV41" s="208"/>
      <c r="EW41" s="208"/>
      <c r="EX41" s="208"/>
      <c r="EY41" s="208"/>
      <c r="EZ41" s="208"/>
      <c r="FA41" s="203"/>
      <c r="FB41" s="203"/>
      <c r="FC41" s="208"/>
      <c r="FD41" s="208"/>
      <c r="FE41" s="208"/>
      <c r="FF41" s="208"/>
      <c r="FG41" s="208"/>
      <c r="FH41" s="208"/>
      <c r="FI41" s="208"/>
      <c r="FJ41" s="208"/>
      <c r="FK41" s="208"/>
      <c r="FL41" s="208"/>
      <c r="FM41" s="208"/>
      <c r="FN41" s="203"/>
      <c r="FO41" s="203"/>
      <c r="FP41" s="208"/>
      <c r="FQ41" s="208"/>
      <c r="FR41" s="208"/>
      <c r="FS41" s="208"/>
      <c r="FT41" s="208"/>
      <c r="FU41" s="208"/>
      <c r="FV41" s="208"/>
      <c r="FW41" s="208"/>
      <c r="FX41" s="208"/>
      <c r="FY41" s="208"/>
      <c r="FZ41" s="208"/>
      <c r="GA41" s="203"/>
      <c r="GB41" s="203"/>
      <c r="GC41" s="208"/>
      <c r="GD41" s="208"/>
      <c r="GE41" s="208"/>
      <c r="GF41" s="208"/>
      <c r="GG41" s="208"/>
      <c r="GH41" s="208"/>
      <c r="GI41" s="208"/>
      <c r="GJ41" s="208"/>
      <c r="GK41" s="208"/>
      <c r="GL41" s="208"/>
      <c r="GM41" s="208"/>
      <c r="GN41" s="203"/>
      <c r="GO41" s="203"/>
      <c r="GP41" s="208"/>
      <c r="GQ41" s="208"/>
      <c r="GR41" s="208"/>
      <c r="GS41" s="208"/>
      <c r="GT41" s="208"/>
      <c r="GU41" s="208"/>
      <c r="GV41" s="208"/>
      <c r="GW41" s="208"/>
      <c r="GX41" s="208"/>
      <c r="GY41" s="208"/>
      <c r="GZ41" s="208"/>
      <c r="HA41" s="203"/>
      <c r="HB41" s="203"/>
      <c r="HC41" s="208"/>
      <c r="HD41" s="208"/>
      <c r="HE41" s="208"/>
      <c r="HF41" s="208"/>
      <c r="HG41" s="208"/>
      <c r="HH41" s="208"/>
      <c r="HI41" s="208"/>
      <c r="HJ41" s="208"/>
      <c r="HK41" s="208"/>
      <c r="HL41" s="208"/>
      <c r="HM41" s="208"/>
      <c r="HN41" s="203"/>
      <c r="HO41" s="203"/>
      <c r="HP41" s="208"/>
      <c r="HQ41" s="208"/>
      <c r="HR41" s="208"/>
      <c r="HS41" s="208"/>
      <c r="HT41" s="208"/>
      <c r="HU41" s="208"/>
      <c r="HV41" s="208"/>
      <c r="HW41" s="208"/>
      <c r="HX41" s="208"/>
      <c r="HY41" s="208"/>
      <c r="HZ41" s="208"/>
      <c r="IA41" s="203"/>
      <c r="IB41" s="203"/>
      <c r="IC41" s="208"/>
      <c r="ID41" s="208"/>
      <c r="IE41" s="208"/>
      <c r="IF41" s="208"/>
      <c r="IG41" s="208"/>
      <c r="IH41" s="208"/>
      <c r="II41" s="208"/>
      <c r="IJ41" s="208"/>
      <c r="IK41" s="208"/>
      <c r="IL41" s="208"/>
      <c r="IM41" s="208"/>
      <c r="IN41" s="203"/>
      <c r="IO41" s="203"/>
      <c r="IP41" s="208"/>
      <c r="IQ41" s="208"/>
      <c r="IR41" s="208"/>
      <c r="IS41" s="208"/>
      <c r="IT41" s="208"/>
      <c r="IU41" s="208"/>
      <c r="IV41" s="208"/>
    </row>
    <row r="42" spans="1:256" x14ac:dyDescent="0.2">
      <c r="A42" s="214"/>
      <c r="B42" s="215"/>
      <c r="C42" s="275"/>
      <c r="D42" s="275"/>
      <c r="E42" s="275"/>
      <c r="F42" s="275"/>
      <c r="G42" s="275"/>
      <c r="H42" s="275"/>
      <c r="I42" s="275"/>
      <c r="J42" s="275"/>
      <c r="K42" s="275"/>
      <c r="L42" s="275"/>
      <c r="M42" s="276"/>
      <c r="N42" s="207"/>
      <c r="O42" s="207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03"/>
      <c r="AB42" s="203"/>
      <c r="AC42" s="208"/>
      <c r="AD42" s="208"/>
      <c r="AE42" s="208"/>
      <c r="AF42" s="208"/>
      <c r="AG42" s="208"/>
      <c r="AH42" s="208"/>
      <c r="AI42" s="208"/>
      <c r="AJ42" s="208"/>
      <c r="AK42" s="208"/>
      <c r="AL42" s="208"/>
      <c r="AM42" s="208"/>
      <c r="AN42" s="203"/>
      <c r="AO42" s="203"/>
      <c r="AP42" s="208"/>
      <c r="AQ42" s="208"/>
      <c r="AR42" s="208"/>
      <c r="AS42" s="208"/>
      <c r="AT42" s="208"/>
      <c r="AU42" s="208"/>
      <c r="AV42" s="208"/>
      <c r="AW42" s="208"/>
      <c r="AX42" s="208"/>
      <c r="AY42" s="208"/>
      <c r="AZ42" s="208"/>
      <c r="BA42" s="203"/>
      <c r="BB42" s="203"/>
      <c r="BC42" s="208"/>
      <c r="BD42" s="208"/>
      <c r="BE42" s="208"/>
      <c r="BF42" s="208"/>
      <c r="BG42" s="208"/>
      <c r="BH42" s="208"/>
      <c r="BI42" s="208"/>
      <c r="BJ42" s="208"/>
      <c r="BK42" s="208"/>
      <c r="BL42" s="208"/>
      <c r="BM42" s="208"/>
      <c r="BN42" s="203"/>
      <c r="BO42" s="203"/>
      <c r="BP42" s="208"/>
      <c r="BQ42" s="208"/>
      <c r="BR42" s="208"/>
      <c r="BS42" s="208"/>
      <c r="BT42" s="208"/>
      <c r="BU42" s="208"/>
      <c r="BV42" s="208"/>
      <c r="BW42" s="208"/>
      <c r="BX42" s="208"/>
      <c r="BY42" s="208"/>
      <c r="BZ42" s="208"/>
      <c r="CA42" s="203"/>
      <c r="CB42" s="203"/>
      <c r="CC42" s="208"/>
      <c r="CD42" s="208"/>
      <c r="CE42" s="208"/>
      <c r="CF42" s="208"/>
      <c r="CG42" s="208"/>
      <c r="CH42" s="208"/>
      <c r="CI42" s="208"/>
      <c r="CJ42" s="208"/>
      <c r="CK42" s="208"/>
      <c r="CL42" s="208"/>
      <c r="CM42" s="208"/>
      <c r="CN42" s="203"/>
      <c r="CO42" s="203"/>
      <c r="CP42" s="208"/>
      <c r="CQ42" s="208"/>
      <c r="CR42" s="208"/>
      <c r="CS42" s="208"/>
      <c r="CT42" s="208"/>
      <c r="CU42" s="208"/>
      <c r="CV42" s="208"/>
      <c r="CW42" s="208"/>
      <c r="CX42" s="208"/>
      <c r="CY42" s="208"/>
      <c r="CZ42" s="208"/>
      <c r="DA42" s="203"/>
      <c r="DB42" s="203"/>
      <c r="DC42" s="208"/>
      <c r="DD42" s="208"/>
      <c r="DE42" s="208"/>
      <c r="DF42" s="208"/>
      <c r="DG42" s="208"/>
      <c r="DH42" s="208"/>
      <c r="DI42" s="208"/>
      <c r="DJ42" s="208"/>
      <c r="DK42" s="208"/>
      <c r="DL42" s="208"/>
      <c r="DM42" s="208"/>
      <c r="DN42" s="203"/>
      <c r="DO42" s="203"/>
      <c r="DP42" s="208"/>
      <c r="DQ42" s="208"/>
      <c r="DR42" s="208"/>
      <c r="DS42" s="208"/>
      <c r="DT42" s="208"/>
      <c r="DU42" s="208"/>
      <c r="DV42" s="208"/>
      <c r="DW42" s="208"/>
      <c r="DX42" s="208"/>
      <c r="DY42" s="208"/>
      <c r="DZ42" s="208"/>
      <c r="EA42" s="203"/>
      <c r="EB42" s="203"/>
      <c r="EC42" s="208"/>
      <c r="ED42" s="208"/>
      <c r="EE42" s="208"/>
      <c r="EF42" s="208"/>
      <c r="EG42" s="208"/>
      <c r="EH42" s="208"/>
      <c r="EI42" s="208"/>
      <c r="EJ42" s="208"/>
      <c r="EK42" s="208"/>
      <c r="EL42" s="208"/>
      <c r="EM42" s="208"/>
      <c r="EN42" s="203"/>
      <c r="EO42" s="203"/>
      <c r="EP42" s="208"/>
      <c r="EQ42" s="208"/>
      <c r="ER42" s="208"/>
      <c r="ES42" s="208"/>
      <c r="ET42" s="208"/>
      <c r="EU42" s="208"/>
      <c r="EV42" s="208"/>
      <c r="EW42" s="208"/>
      <c r="EX42" s="208"/>
      <c r="EY42" s="208"/>
      <c r="EZ42" s="208"/>
      <c r="FA42" s="203"/>
      <c r="FB42" s="203"/>
      <c r="FC42" s="208"/>
      <c r="FD42" s="208"/>
      <c r="FE42" s="208"/>
      <c r="FF42" s="208"/>
      <c r="FG42" s="208"/>
      <c r="FH42" s="208"/>
      <c r="FI42" s="208"/>
      <c r="FJ42" s="208"/>
      <c r="FK42" s="208"/>
      <c r="FL42" s="208"/>
      <c r="FM42" s="208"/>
      <c r="FN42" s="203"/>
      <c r="FO42" s="203"/>
      <c r="FP42" s="208"/>
      <c r="FQ42" s="208"/>
      <c r="FR42" s="208"/>
      <c r="FS42" s="208"/>
      <c r="FT42" s="208"/>
      <c r="FU42" s="208"/>
      <c r="FV42" s="208"/>
      <c r="FW42" s="208"/>
      <c r="FX42" s="208"/>
      <c r="FY42" s="208"/>
      <c r="FZ42" s="208"/>
      <c r="GA42" s="203"/>
      <c r="GB42" s="203"/>
      <c r="GC42" s="208"/>
      <c r="GD42" s="208"/>
      <c r="GE42" s="208"/>
      <c r="GF42" s="208"/>
      <c r="GG42" s="208"/>
      <c r="GH42" s="208"/>
      <c r="GI42" s="208"/>
      <c r="GJ42" s="208"/>
      <c r="GK42" s="208"/>
      <c r="GL42" s="208"/>
      <c r="GM42" s="208"/>
      <c r="GN42" s="203"/>
      <c r="GO42" s="203"/>
      <c r="GP42" s="208"/>
      <c r="GQ42" s="208"/>
      <c r="GR42" s="208"/>
      <c r="GS42" s="208"/>
      <c r="GT42" s="208"/>
      <c r="GU42" s="208"/>
      <c r="GV42" s="208"/>
      <c r="GW42" s="208"/>
      <c r="GX42" s="208"/>
      <c r="GY42" s="208"/>
      <c r="GZ42" s="208"/>
      <c r="HA42" s="203"/>
      <c r="HB42" s="203"/>
      <c r="HC42" s="208"/>
      <c r="HD42" s="208"/>
      <c r="HE42" s="208"/>
      <c r="HF42" s="208"/>
      <c r="HG42" s="208"/>
      <c r="HH42" s="208"/>
      <c r="HI42" s="208"/>
      <c r="HJ42" s="208"/>
      <c r="HK42" s="208"/>
      <c r="HL42" s="208"/>
      <c r="HM42" s="208"/>
      <c r="HN42" s="203"/>
      <c r="HO42" s="203"/>
      <c r="HP42" s="208"/>
      <c r="HQ42" s="208"/>
      <c r="HR42" s="208"/>
      <c r="HS42" s="208"/>
      <c r="HT42" s="208"/>
      <c r="HU42" s="208"/>
      <c r="HV42" s="208"/>
      <c r="HW42" s="208"/>
      <c r="HX42" s="208"/>
      <c r="HY42" s="208"/>
      <c r="HZ42" s="208"/>
      <c r="IA42" s="203"/>
      <c r="IB42" s="203"/>
      <c r="IC42" s="208"/>
      <c r="ID42" s="208"/>
      <c r="IE42" s="208"/>
      <c r="IF42" s="208"/>
      <c r="IG42" s="208"/>
      <c r="IH42" s="208"/>
      <c r="II42" s="208"/>
      <c r="IJ42" s="208"/>
      <c r="IK42" s="208"/>
      <c r="IL42" s="208"/>
      <c r="IM42" s="208"/>
      <c r="IN42" s="203"/>
      <c r="IO42" s="203"/>
      <c r="IP42" s="208"/>
      <c r="IQ42" s="208"/>
      <c r="IR42" s="208"/>
      <c r="IS42" s="208"/>
      <c r="IT42" s="208"/>
      <c r="IU42" s="208"/>
      <c r="IV42" s="208"/>
    </row>
    <row r="43" spans="1:256" x14ac:dyDescent="0.2">
      <c r="A43" s="214"/>
      <c r="B43" s="215"/>
      <c r="C43" s="275"/>
      <c r="D43" s="275"/>
      <c r="E43" s="275"/>
      <c r="F43" s="275"/>
      <c r="G43" s="275"/>
      <c r="H43" s="275"/>
      <c r="I43" s="275"/>
      <c r="J43" s="275"/>
      <c r="K43" s="275"/>
      <c r="L43" s="275"/>
      <c r="M43" s="276"/>
      <c r="N43" s="207"/>
      <c r="O43" s="207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03"/>
      <c r="AB43" s="203"/>
      <c r="AC43" s="208"/>
      <c r="AD43" s="208"/>
      <c r="AE43" s="208"/>
      <c r="AF43" s="208"/>
      <c r="AG43" s="208"/>
      <c r="AH43" s="208"/>
      <c r="AI43" s="208"/>
      <c r="AJ43" s="208"/>
      <c r="AK43" s="208"/>
      <c r="AL43" s="208"/>
      <c r="AM43" s="208"/>
      <c r="AN43" s="203"/>
      <c r="AO43" s="203"/>
      <c r="AP43" s="208"/>
      <c r="AQ43" s="208"/>
      <c r="AR43" s="208"/>
      <c r="AS43" s="208"/>
      <c r="AT43" s="208"/>
      <c r="AU43" s="208"/>
      <c r="AV43" s="208"/>
      <c r="AW43" s="208"/>
      <c r="AX43" s="208"/>
      <c r="AY43" s="208"/>
      <c r="AZ43" s="208"/>
      <c r="BA43" s="203"/>
      <c r="BB43" s="203"/>
      <c r="BC43" s="208"/>
      <c r="BD43" s="208"/>
      <c r="BE43" s="208"/>
      <c r="BF43" s="208"/>
      <c r="BG43" s="208"/>
      <c r="BH43" s="208"/>
      <c r="BI43" s="208"/>
      <c r="BJ43" s="208"/>
      <c r="BK43" s="208"/>
      <c r="BL43" s="208"/>
      <c r="BM43" s="208"/>
      <c r="BN43" s="203"/>
      <c r="BO43" s="203"/>
      <c r="BP43" s="208"/>
      <c r="BQ43" s="208"/>
      <c r="BR43" s="208"/>
      <c r="BS43" s="208"/>
      <c r="BT43" s="208"/>
      <c r="BU43" s="208"/>
      <c r="BV43" s="208"/>
      <c r="BW43" s="208"/>
      <c r="BX43" s="208"/>
      <c r="BY43" s="208"/>
      <c r="BZ43" s="208"/>
      <c r="CA43" s="203"/>
      <c r="CB43" s="203"/>
      <c r="CC43" s="208"/>
      <c r="CD43" s="208"/>
      <c r="CE43" s="208"/>
      <c r="CF43" s="208"/>
      <c r="CG43" s="208"/>
      <c r="CH43" s="208"/>
      <c r="CI43" s="208"/>
      <c r="CJ43" s="208"/>
      <c r="CK43" s="208"/>
      <c r="CL43" s="208"/>
      <c r="CM43" s="208"/>
      <c r="CN43" s="203"/>
      <c r="CO43" s="203"/>
      <c r="CP43" s="208"/>
      <c r="CQ43" s="208"/>
      <c r="CR43" s="208"/>
      <c r="CS43" s="208"/>
      <c r="CT43" s="208"/>
      <c r="CU43" s="208"/>
      <c r="CV43" s="208"/>
      <c r="CW43" s="208"/>
      <c r="CX43" s="208"/>
      <c r="CY43" s="208"/>
      <c r="CZ43" s="208"/>
      <c r="DA43" s="203"/>
      <c r="DB43" s="203"/>
      <c r="DC43" s="208"/>
      <c r="DD43" s="208"/>
      <c r="DE43" s="208"/>
      <c r="DF43" s="208"/>
      <c r="DG43" s="208"/>
      <c r="DH43" s="208"/>
      <c r="DI43" s="208"/>
      <c r="DJ43" s="208"/>
      <c r="DK43" s="208"/>
      <c r="DL43" s="208"/>
      <c r="DM43" s="208"/>
      <c r="DN43" s="203"/>
      <c r="DO43" s="203"/>
      <c r="DP43" s="208"/>
      <c r="DQ43" s="208"/>
      <c r="DR43" s="208"/>
      <c r="DS43" s="208"/>
      <c r="DT43" s="208"/>
      <c r="DU43" s="208"/>
      <c r="DV43" s="208"/>
      <c r="DW43" s="208"/>
      <c r="DX43" s="208"/>
      <c r="DY43" s="208"/>
      <c r="DZ43" s="208"/>
      <c r="EA43" s="203"/>
      <c r="EB43" s="203"/>
      <c r="EC43" s="208"/>
      <c r="ED43" s="208"/>
      <c r="EE43" s="208"/>
      <c r="EF43" s="208"/>
      <c r="EG43" s="208"/>
      <c r="EH43" s="208"/>
      <c r="EI43" s="208"/>
      <c r="EJ43" s="208"/>
      <c r="EK43" s="208"/>
      <c r="EL43" s="208"/>
      <c r="EM43" s="208"/>
      <c r="EN43" s="203"/>
      <c r="EO43" s="203"/>
      <c r="EP43" s="208"/>
      <c r="EQ43" s="208"/>
      <c r="ER43" s="208"/>
      <c r="ES43" s="208"/>
      <c r="ET43" s="208"/>
      <c r="EU43" s="208"/>
      <c r="EV43" s="208"/>
      <c r="EW43" s="208"/>
      <c r="EX43" s="208"/>
      <c r="EY43" s="208"/>
      <c r="EZ43" s="208"/>
      <c r="FA43" s="203"/>
      <c r="FB43" s="203"/>
      <c r="FC43" s="208"/>
      <c r="FD43" s="208"/>
      <c r="FE43" s="208"/>
      <c r="FF43" s="208"/>
      <c r="FG43" s="208"/>
      <c r="FH43" s="208"/>
      <c r="FI43" s="208"/>
      <c r="FJ43" s="208"/>
      <c r="FK43" s="208"/>
      <c r="FL43" s="208"/>
      <c r="FM43" s="208"/>
      <c r="FN43" s="203"/>
      <c r="FO43" s="203"/>
      <c r="FP43" s="208"/>
      <c r="FQ43" s="208"/>
      <c r="FR43" s="208"/>
      <c r="FS43" s="208"/>
      <c r="FT43" s="208"/>
      <c r="FU43" s="208"/>
      <c r="FV43" s="208"/>
      <c r="FW43" s="208"/>
      <c r="FX43" s="208"/>
      <c r="FY43" s="208"/>
      <c r="FZ43" s="208"/>
      <c r="GA43" s="203"/>
      <c r="GB43" s="203"/>
      <c r="GC43" s="208"/>
      <c r="GD43" s="208"/>
      <c r="GE43" s="208"/>
      <c r="GF43" s="208"/>
      <c r="GG43" s="208"/>
      <c r="GH43" s="208"/>
      <c r="GI43" s="208"/>
      <c r="GJ43" s="208"/>
      <c r="GK43" s="208"/>
      <c r="GL43" s="208"/>
      <c r="GM43" s="208"/>
      <c r="GN43" s="203"/>
      <c r="GO43" s="203"/>
      <c r="GP43" s="208"/>
      <c r="GQ43" s="208"/>
      <c r="GR43" s="208"/>
      <c r="GS43" s="208"/>
      <c r="GT43" s="208"/>
      <c r="GU43" s="208"/>
      <c r="GV43" s="208"/>
      <c r="GW43" s="208"/>
      <c r="GX43" s="208"/>
      <c r="GY43" s="208"/>
      <c r="GZ43" s="208"/>
      <c r="HA43" s="203"/>
      <c r="HB43" s="203"/>
      <c r="HC43" s="208"/>
      <c r="HD43" s="208"/>
      <c r="HE43" s="208"/>
      <c r="HF43" s="208"/>
      <c r="HG43" s="208"/>
      <c r="HH43" s="208"/>
      <c r="HI43" s="208"/>
      <c r="HJ43" s="208"/>
      <c r="HK43" s="208"/>
      <c r="HL43" s="208"/>
      <c r="HM43" s="208"/>
      <c r="HN43" s="203"/>
      <c r="HO43" s="203"/>
      <c r="HP43" s="208"/>
      <c r="HQ43" s="208"/>
      <c r="HR43" s="208"/>
      <c r="HS43" s="208"/>
      <c r="HT43" s="208"/>
      <c r="HU43" s="208"/>
      <c r="HV43" s="208"/>
      <c r="HW43" s="208"/>
      <c r="HX43" s="208"/>
      <c r="HY43" s="208"/>
      <c r="HZ43" s="208"/>
      <c r="IA43" s="203"/>
      <c r="IB43" s="203"/>
      <c r="IC43" s="208"/>
      <c r="ID43" s="208"/>
      <c r="IE43" s="208"/>
      <c r="IF43" s="208"/>
      <c r="IG43" s="208"/>
      <c r="IH43" s="208"/>
      <c r="II43" s="208"/>
      <c r="IJ43" s="208"/>
      <c r="IK43" s="208"/>
      <c r="IL43" s="208"/>
      <c r="IM43" s="208"/>
      <c r="IN43" s="203"/>
      <c r="IO43" s="203"/>
      <c r="IP43" s="208"/>
      <c r="IQ43" s="208"/>
      <c r="IR43" s="208"/>
      <c r="IS43" s="208"/>
      <c r="IT43" s="208"/>
      <c r="IU43" s="208"/>
      <c r="IV43" s="208"/>
    </row>
    <row r="44" spans="1:256" x14ac:dyDescent="0.2">
      <c r="A44" s="214"/>
      <c r="B44" s="215"/>
      <c r="C44" s="275"/>
      <c r="D44" s="275"/>
      <c r="E44" s="275"/>
      <c r="F44" s="275"/>
      <c r="G44" s="275"/>
      <c r="H44" s="275"/>
      <c r="I44" s="275"/>
      <c r="J44" s="275"/>
      <c r="K44" s="275"/>
      <c r="L44" s="275"/>
      <c r="M44" s="276"/>
      <c r="N44" s="207"/>
      <c r="O44" s="207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03"/>
      <c r="AB44" s="203"/>
      <c r="AC44" s="208"/>
      <c r="AD44" s="208"/>
      <c r="AE44" s="208"/>
      <c r="AF44" s="208"/>
      <c r="AG44" s="208"/>
      <c r="AH44" s="208"/>
      <c r="AI44" s="208"/>
      <c r="AJ44" s="208"/>
      <c r="AK44" s="208"/>
      <c r="AL44" s="208"/>
      <c r="AM44" s="208"/>
      <c r="AN44" s="203"/>
      <c r="AO44" s="203"/>
      <c r="AP44" s="208"/>
      <c r="AQ44" s="208"/>
      <c r="AR44" s="208"/>
      <c r="AS44" s="208"/>
      <c r="AT44" s="208"/>
      <c r="AU44" s="208"/>
      <c r="AV44" s="208"/>
      <c r="AW44" s="208"/>
      <c r="AX44" s="208"/>
      <c r="AY44" s="208"/>
      <c r="AZ44" s="208"/>
      <c r="BA44" s="203"/>
      <c r="BB44" s="203"/>
      <c r="BC44" s="208"/>
      <c r="BD44" s="208"/>
      <c r="BE44" s="208"/>
      <c r="BF44" s="208"/>
      <c r="BG44" s="208"/>
      <c r="BH44" s="208"/>
      <c r="BI44" s="208"/>
      <c r="BJ44" s="208"/>
      <c r="BK44" s="208"/>
      <c r="BL44" s="208"/>
      <c r="BM44" s="208"/>
      <c r="BN44" s="203"/>
      <c r="BO44" s="203"/>
      <c r="BP44" s="208"/>
      <c r="BQ44" s="208"/>
      <c r="BR44" s="208"/>
      <c r="BS44" s="208"/>
      <c r="BT44" s="208"/>
      <c r="BU44" s="208"/>
      <c r="BV44" s="208"/>
      <c r="BW44" s="208"/>
      <c r="BX44" s="208"/>
      <c r="BY44" s="208"/>
      <c r="BZ44" s="208"/>
      <c r="CA44" s="203"/>
      <c r="CB44" s="203"/>
      <c r="CC44" s="208"/>
      <c r="CD44" s="208"/>
      <c r="CE44" s="208"/>
      <c r="CF44" s="208"/>
      <c r="CG44" s="208"/>
      <c r="CH44" s="208"/>
      <c r="CI44" s="208"/>
      <c r="CJ44" s="208"/>
      <c r="CK44" s="208"/>
      <c r="CL44" s="208"/>
      <c r="CM44" s="208"/>
      <c r="CN44" s="203"/>
      <c r="CO44" s="203"/>
      <c r="CP44" s="208"/>
      <c r="CQ44" s="208"/>
      <c r="CR44" s="208"/>
      <c r="CS44" s="208"/>
      <c r="CT44" s="208"/>
      <c r="CU44" s="208"/>
      <c r="CV44" s="208"/>
      <c r="CW44" s="208"/>
      <c r="CX44" s="208"/>
      <c r="CY44" s="208"/>
      <c r="CZ44" s="208"/>
      <c r="DA44" s="203"/>
      <c r="DB44" s="203"/>
      <c r="DC44" s="208"/>
      <c r="DD44" s="208"/>
      <c r="DE44" s="208"/>
      <c r="DF44" s="208"/>
      <c r="DG44" s="208"/>
      <c r="DH44" s="208"/>
      <c r="DI44" s="208"/>
      <c r="DJ44" s="208"/>
      <c r="DK44" s="208"/>
      <c r="DL44" s="208"/>
      <c r="DM44" s="208"/>
      <c r="DN44" s="203"/>
      <c r="DO44" s="203"/>
      <c r="DP44" s="208"/>
      <c r="DQ44" s="208"/>
      <c r="DR44" s="208"/>
      <c r="DS44" s="208"/>
      <c r="DT44" s="208"/>
      <c r="DU44" s="208"/>
      <c r="DV44" s="208"/>
      <c r="DW44" s="208"/>
      <c r="DX44" s="208"/>
      <c r="DY44" s="208"/>
      <c r="DZ44" s="208"/>
      <c r="EA44" s="203"/>
      <c r="EB44" s="203"/>
      <c r="EC44" s="208"/>
      <c r="ED44" s="208"/>
      <c r="EE44" s="208"/>
      <c r="EF44" s="208"/>
      <c r="EG44" s="208"/>
      <c r="EH44" s="208"/>
      <c r="EI44" s="208"/>
      <c r="EJ44" s="208"/>
      <c r="EK44" s="208"/>
      <c r="EL44" s="208"/>
      <c r="EM44" s="208"/>
      <c r="EN44" s="203"/>
      <c r="EO44" s="203"/>
      <c r="EP44" s="208"/>
      <c r="EQ44" s="208"/>
      <c r="ER44" s="208"/>
      <c r="ES44" s="208"/>
      <c r="ET44" s="208"/>
      <c r="EU44" s="208"/>
      <c r="EV44" s="208"/>
      <c r="EW44" s="208"/>
      <c r="EX44" s="208"/>
      <c r="EY44" s="208"/>
      <c r="EZ44" s="208"/>
      <c r="FA44" s="203"/>
      <c r="FB44" s="203"/>
      <c r="FC44" s="208"/>
      <c r="FD44" s="208"/>
      <c r="FE44" s="208"/>
      <c r="FF44" s="208"/>
      <c r="FG44" s="208"/>
      <c r="FH44" s="208"/>
      <c r="FI44" s="208"/>
      <c r="FJ44" s="208"/>
      <c r="FK44" s="208"/>
      <c r="FL44" s="208"/>
      <c r="FM44" s="208"/>
      <c r="FN44" s="203"/>
      <c r="FO44" s="203"/>
      <c r="FP44" s="208"/>
      <c r="FQ44" s="208"/>
      <c r="FR44" s="208"/>
      <c r="FS44" s="208"/>
      <c r="FT44" s="208"/>
      <c r="FU44" s="208"/>
      <c r="FV44" s="208"/>
      <c r="FW44" s="208"/>
      <c r="FX44" s="208"/>
      <c r="FY44" s="208"/>
      <c r="FZ44" s="208"/>
      <c r="GA44" s="203"/>
      <c r="GB44" s="203"/>
      <c r="GC44" s="208"/>
      <c r="GD44" s="208"/>
      <c r="GE44" s="208"/>
      <c r="GF44" s="208"/>
      <c r="GG44" s="208"/>
      <c r="GH44" s="208"/>
      <c r="GI44" s="208"/>
      <c r="GJ44" s="208"/>
      <c r="GK44" s="208"/>
      <c r="GL44" s="208"/>
      <c r="GM44" s="208"/>
      <c r="GN44" s="203"/>
      <c r="GO44" s="203"/>
      <c r="GP44" s="208"/>
      <c r="GQ44" s="208"/>
      <c r="GR44" s="208"/>
      <c r="GS44" s="208"/>
      <c r="GT44" s="208"/>
      <c r="GU44" s="208"/>
      <c r="GV44" s="208"/>
      <c r="GW44" s="208"/>
      <c r="GX44" s="208"/>
      <c r="GY44" s="208"/>
      <c r="GZ44" s="208"/>
      <c r="HA44" s="203"/>
      <c r="HB44" s="203"/>
      <c r="HC44" s="208"/>
      <c r="HD44" s="208"/>
      <c r="HE44" s="208"/>
      <c r="HF44" s="208"/>
      <c r="HG44" s="208"/>
      <c r="HH44" s="208"/>
      <c r="HI44" s="208"/>
      <c r="HJ44" s="208"/>
      <c r="HK44" s="208"/>
      <c r="HL44" s="208"/>
      <c r="HM44" s="208"/>
      <c r="HN44" s="203"/>
      <c r="HO44" s="203"/>
      <c r="HP44" s="208"/>
      <c r="HQ44" s="208"/>
      <c r="HR44" s="208"/>
      <c r="HS44" s="208"/>
      <c r="HT44" s="208"/>
      <c r="HU44" s="208"/>
      <c r="HV44" s="208"/>
      <c r="HW44" s="208"/>
      <c r="HX44" s="208"/>
      <c r="HY44" s="208"/>
      <c r="HZ44" s="208"/>
      <c r="IA44" s="203"/>
      <c r="IB44" s="203"/>
      <c r="IC44" s="208"/>
      <c r="ID44" s="208"/>
      <c r="IE44" s="208"/>
      <c r="IF44" s="208"/>
      <c r="IG44" s="208"/>
      <c r="IH44" s="208"/>
      <c r="II44" s="208"/>
      <c r="IJ44" s="208"/>
      <c r="IK44" s="208"/>
      <c r="IL44" s="208"/>
      <c r="IM44" s="208"/>
      <c r="IN44" s="203"/>
      <c r="IO44" s="203"/>
      <c r="IP44" s="208"/>
      <c r="IQ44" s="208"/>
      <c r="IR44" s="208"/>
      <c r="IS44" s="208"/>
      <c r="IT44" s="208"/>
      <c r="IU44" s="208"/>
      <c r="IV44" s="208"/>
    </row>
    <row r="45" spans="1:256" x14ac:dyDescent="0.2">
      <c r="A45" s="214"/>
      <c r="B45" s="215"/>
      <c r="C45" s="275"/>
      <c r="D45" s="275"/>
      <c r="E45" s="275"/>
      <c r="F45" s="275"/>
      <c r="G45" s="275"/>
      <c r="H45" s="275"/>
      <c r="I45" s="275"/>
      <c r="J45" s="275"/>
      <c r="K45" s="275"/>
      <c r="L45" s="275"/>
      <c r="M45" s="276"/>
      <c r="N45" s="207"/>
      <c r="O45" s="207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03"/>
      <c r="AB45" s="203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3"/>
      <c r="AO45" s="203"/>
      <c r="AP45" s="208"/>
      <c r="AQ45" s="208"/>
      <c r="AR45" s="208"/>
      <c r="AS45" s="208"/>
      <c r="AT45" s="208"/>
      <c r="AU45" s="208"/>
      <c r="AV45" s="208"/>
      <c r="AW45" s="208"/>
      <c r="AX45" s="208"/>
      <c r="AY45" s="208"/>
      <c r="AZ45" s="208"/>
      <c r="BA45" s="203"/>
      <c r="BB45" s="203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8"/>
      <c r="BN45" s="203"/>
      <c r="BO45" s="203"/>
      <c r="BP45" s="208"/>
      <c r="BQ45" s="208"/>
      <c r="BR45" s="208"/>
      <c r="BS45" s="208"/>
      <c r="BT45" s="208"/>
      <c r="BU45" s="208"/>
      <c r="BV45" s="208"/>
      <c r="BW45" s="208"/>
      <c r="BX45" s="208"/>
      <c r="BY45" s="208"/>
      <c r="BZ45" s="208"/>
      <c r="CA45" s="203"/>
      <c r="CB45" s="203"/>
      <c r="CC45" s="208"/>
      <c r="CD45" s="208"/>
      <c r="CE45" s="208"/>
      <c r="CF45" s="208"/>
      <c r="CG45" s="208"/>
      <c r="CH45" s="208"/>
      <c r="CI45" s="208"/>
      <c r="CJ45" s="208"/>
      <c r="CK45" s="208"/>
      <c r="CL45" s="208"/>
      <c r="CM45" s="208"/>
      <c r="CN45" s="203"/>
      <c r="CO45" s="203"/>
      <c r="CP45" s="208"/>
      <c r="CQ45" s="208"/>
      <c r="CR45" s="208"/>
      <c r="CS45" s="208"/>
      <c r="CT45" s="208"/>
      <c r="CU45" s="208"/>
      <c r="CV45" s="208"/>
      <c r="CW45" s="208"/>
      <c r="CX45" s="208"/>
      <c r="CY45" s="208"/>
      <c r="CZ45" s="208"/>
      <c r="DA45" s="203"/>
      <c r="DB45" s="203"/>
      <c r="DC45" s="208"/>
      <c r="DD45" s="208"/>
      <c r="DE45" s="208"/>
      <c r="DF45" s="208"/>
      <c r="DG45" s="208"/>
      <c r="DH45" s="208"/>
      <c r="DI45" s="208"/>
      <c r="DJ45" s="208"/>
      <c r="DK45" s="208"/>
      <c r="DL45" s="208"/>
      <c r="DM45" s="208"/>
      <c r="DN45" s="203"/>
      <c r="DO45" s="203"/>
      <c r="DP45" s="208"/>
      <c r="DQ45" s="208"/>
      <c r="DR45" s="208"/>
      <c r="DS45" s="208"/>
      <c r="DT45" s="208"/>
      <c r="DU45" s="208"/>
      <c r="DV45" s="208"/>
      <c r="DW45" s="208"/>
      <c r="DX45" s="208"/>
      <c r="DY45" s="208"/>
      <c r="DZ45" s="208"/>
      <c r="EA45" s="203"/>
      <c r="EB45" s="203"/>
      <c r="EC45" s="208"/>
      <c r="ED45" s="208"/>
      <c r="EE45" s="208"/>
      <c r="EF45" s="208"/>
      <c r="EG45" s="208"/>
      <c r="EH45" s="208"/>
      <c r="EI45" s="208"/>
      <c r="EJ45" s="208"/>
      <c r="EK45" s="208"/>
      <c r="EL45" s="208"/>
      <c r="EM45" s="208"/>
      <c r="EN45" s="203"/>
      <c r="EO45" s="203"/>
      <c r="EP45" s="208"/>
      <c r="EQ45" s="208"/>
      <c r="ER45" s="208"/>
      <c r="ES45" s="208"/>
      <c r="ET45" s="208"/>
      <c r="EU45" s="208"/>
      <c r="EV45" s="208"/>
      <c r="EW45" s="208"/>
      <c r="EX45" s="208"/>
      <c r="EY45" s="208"/>
      <c r="EZ45" s="208"/>
      <c r="FA45" s="203"/>
      <c r="FB45" s="203"/>
      <c r="FC45" s="208"/>
      <c r="FD45" s="208"/>
      <c r="FE45" s="208"/>
      <c r="FF45" s="208"/>
      <c r="FG45" s="208"/>
      <c r="FH45" s="208"/>
      <c r="FI45" s="208"/>
      <c r="FJ45" s="208"/>
      <c r="FK45" s="208"/>
      <c r="FL45" s="208"/>
      <c r="FM45" s="208"/>
      <c r="FN45" s="203"/>
      <c r="FO45" s="203"/>
      <c r="FP45" s="208"/>
      <c r="FQ45" s="208"/>
      <c r="FR45" s="208"/>
      <c r="FS45" s="208"/>
      <c r="FT45" s="208"/>
      <c r="FU45" s="208"/>
      <c r="FV45" s="208"/>
      <c r="FW45" s="208"/>
      <c r="FX45" s="208"/>
      <c r="FY45" s="208"/>
      <c r="FZ45" s="208"/>
      <c r="GA45" s="203"/>
      <c r="GB45" s="203"/>
      <c r="GC45" s="208"/>
      <c r="GD45" s="208"/>
      <c r="GE45" s="208"/>
      <c r="GF45" s="208"/>
      <c r="GG45" s="208"/>
      <c r="GH45" s="208"/>
      <c r="GI45" s="208"/>
      <c r="GJ45" s="208"/>
      <c r="GK45" s="208"/>
      <c r="GL45" s="208"/>
      <c r="GM45" s="208"/>
      <c r="GN45" s="203"/>
      <c r="GO45" s="203"/>
      <c r="GP45" s="208"/>
      <c r="GQ45" s="208"/>
      <c r="GR45" s="208"/>
      <c r="GS45" s="208"/>
      <c r="GT45" s="208"/>
      <c r="GU45" s="208"/>
      <c r="GV45" s="208"/>
      <c r="GW45" s="208"/>
      <c r="GX45" s="208"/>
      <c r="GY45" s="208"/>
      <c r="GZ45" s="208"/>
      <c r="HA45" s="203"/>
      <c r="HB45" s="203"/>
      <c r="HC45" s="208"/>
      <c r="HD45" s="208"/>
      <c r="HE45" s="208"/>
      <c r="HF45" s="208"/>
      <c r="HG45" s="208"/>
      <c r="HH45" s="208"/>
      <c r="HI45" s="208"/>
      <c r="HJ45" s="208"/>
      <c r="HK45" s="208"/>
      <c r="HL45" s="208"/>
      <c r="HM45" s="208"/>
      <c r="HN45" s="203"/>
      <c r="HO45" s="203"/>
      <c r="HP45" s="208"/>
      <c r="HQ45" s="208"/>
      <c r="HR45" s="208"/>
      <c r="HS45" s="208"/>
      <c r="HT45" s="208"/>
      <c r="HU45" s="208"/>
      <c r="HV45" s="208"/>
      <c r="HW45" s="208"/>
      <c r="HX45" s="208"/>
      <c r="HY45" s="208"/>
      <c r="HZ45" s="208"/>
      <c r="IA45" s="203"/>
      <c r="IB45" s="203"/>
      <c r="IC45" s="208"/>
      <c r="ID45" s="208"/>
      <c r="IE45" s="208"/>
      <c r="IF45" s="208"/>
      <c r="IG45" s="208"/>
      <c r="IH45" s="208"/>
      <c r="II45" s="208"/>
      <c r="IJ45" s="208"/>
      <c r="IK45" s="208"/>
      <c r="IL45" s="208"/>
      <c r="IM45" s="208"/>
      <c r="IN45" s="203"/>
      <c r="IO45" s="203"/>
      <c r="IP45" s="208"/>
      <c r="IQ45" s="208"/>
      <c r="IR45" s="208"/>
      <c r="IS45" s="208"/>
      <c r="IT45" s="208"/>
      <c r="IU45" s="208"/>
      <c r="IV45" s="208"/>
    </row>
    <row r="46" spans="1:256" x14ac:dyDescent="0.2">
      <c r="A46" s="214"/>
      <c r="B46" s="215"/>
      <c r="C46" s="275"/>
      <c r="D46" s="275"/>
      <c r="E46" s="275"/>
      <c r="F46" s="275"/>
      <c r="G46" s="275"/>
      <c r="H46" s="275"/>
      <c r="I46" s="275"/>
      <c r="J46" s="275"/>
      <c r="K46" s="275"/>
      <c r="L46" s="275"/>
      <c r="M46" s="276"/>
      <c r="N46" s="207"/>
      <c r="O46" s="207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03"/>
      <c r="AB46" s="203"/>
      <c r="AC46" s="208"/>
      <c r="AD46" s="208"/>
      <c r="AE46" s="208"/>
      <c r="AF46" s="208"/>
      <c r="AG46" s="208"/>
      <c r="AH46" s="208"/>
      <c r="AI46" s="208"/>
      <c r="AJ46" s="208"/>
      <c r="AK46" s="208"/>
      <c r="AL46" s="208"/>
      <c r="AM46" s="208"/>
      <c r="AN46" s="203"/>
      <c r="AO46" s="203"/>
      <c r="AP46" s="208"/>
      <c r="AQ46" s="208"/>
      <c r="AR46" s="208"/>
      <c r="AS46" s="208"/>
      <c r="AT46" s="208"/>
      <c r="AU46" s="208"/>
      <c r="AV46" s="208"/>
      <c r="AW46" s="208"/>
      <c r="AX46" s="208"/>
      <c r="AY46" s="208"/>
      <c r="AZ46" s="208"/>
      <c r="BA46" s="203"/>
      <c r="BB46" s="203"/>
      <c r="BC46" s="208"/>
      <c r="BD46" s="208"/>
      <c r="BE46" s="208"/>
      <c r="BF46" s="208"/>
      <c r="BG46" s="208"/>
      <c r="BH46" s="208"/>
      <c r="BI46" s="208"/>
      <c r="BJ46" s="208"/>
      <c r="BK46" s="208"/>
      <c r="BL46" s="208"/>
      <c r="BM46" s="208"/>
      <c r="BN46" s="203"/>
      <c r="BO46" s="203"/>
      <c r="BP46" s="208"/>
      <c r="BQ46" s="208"/>
      <c r="BR46" s="208"/>
      <c r="BS46" s="208"/>
      <c r="BT46" s="208"/>
      <c r="BU46" s="208"/>
      <c r="BV46" s="208"/>
      <c r="BW46" s="208"/>
      <c r="BX46" s="208"/>
      <c r="BY46" s="208"/>
      <c r="BZ46" s="208"/>
      <c r="CA46" s="203"/>
      <c r="CB46" s="203"/>
      <c r="CC46" s="208"/>
      <c r="CD46" s="208"/>
      <c r="CE46" s="208"/>
      <c r="CF46" s="208"/>
      <c r="CG46" s="208"/>
      <c r="CH46" s="208"/>
      <c r="CI46" s="208"/>
      <c r="CJ46" s="208"/>
      <c r="CK46" s="208"/>
      <c r="CL46" s="208"/>
      <c r="CM46" s="208"/>
      <c r="CN46" s="203"/>
      <c r="CO46" s="203"/>
      <c r="CP46" s="208"/>
      <c r="CQ46" s="208"/>
      <c r="CR46" s="208"/>
      <c r="CS46" s="208"/>
      <c r="CT46" s="208"/>
      <c r="CU46" s="208"/>
      <c r="CV46" s="208"/>
      <c r="CW46" s="208"/>
      <c r="CX46" s="208"/>
      <c r="CY46" s="208"/>
      <c r="CZ46" s="208"/>
      <c r="DA46" s="203"/>
      <c r="DB46" s="203"/>
      <c r="DC46" s="208"/>
      <c r="DD46" s="208"/>
      <c r="DE46" s="208"/>
      <c r="DF46" s="208"/>
      <c r="DG46" s="208"/>
      <c r="DH46" s="208"/>
      <c r="DI46" s="208"/>
      <c r="DJ46" s="208"/>
      <c r="DK46" s="208"/>
      <c r="DL46" s="208"/>
      <c r="DM46" s="208"/>
      <c r="DN46" s="203"/>
      <c r="DO46" s="203"/>
      <c r="DP46" s="208"/>
      <c r="DQ46" s="208"/>
      <c r="DR46" s="208"/>
      <c r="DS46" s="208"/>
      <c r="DT46" s="208"/>
      <c r="DU46" s="208"/>
      <c r="DV46" s="208"/>
      <c r="DW46" s="208"/>
      <c r="DX46" s="208"/>
      <c r="DY46" s="208"/>
      <c r="DZ46" s="208"/>
      <c r="EA46" s="203"/>
      <c r="EB46" s="203"/>
      <c r="EC46" s="208"/>
      <c r="ED46" s="208"/>
      <c r="EE46" s="208"/>
      <c r="EF46" s="208"/>
      <c r="EG46" s="208"/>
      <c r="EH46" s="208"/>
      <c r="EI46" s="208"/>
      <c r="EJ46" s="208"/>
      <c r="EK46" s="208"/>
      <c r="EL46" s="208"/>
      <c r="EM46" s="208"/>
      <c r="EN46" s="203"/>
      <c r="EO46" s="203"/>
      <c r="EP46" s="208"/>
      <c r="EQ46" s="208"/>
      <c r="ER46" s="208"/>
      <c r="ES46" s="208"/>
      <c r="ET46" s="208"/>
      <c r="EU46" s="208"/>
      <c r="EV46" s="208"/>
      <c r="EW46" s="208"/>
      <c r="EX46" s="208"/>
      <c r="EY46" s="208"/>
      <c r="EZ46" s="208"/>
      <c r="FA46" s="203"/>
      <c r="FB46" s="203"/>
      <c r="FC46" s="208"/>
      <c r="FD46" s="208"/>
      <c r="FE46" s="208"/>
      <c r="FF46" s="208"/>
      <c r="FG46" s="208"/>
      <c r="FH46" s="208"/>
      <c r="FI46" s="208"/>
      <c r="FJ46" s="208"/>
      <c r="FK46" s="208"/>
      <c r="FL46" s="208"/>
      <c r="FM46" s="208"/>
      <c r="FN46" s="203"/>
      <c r="FO46" s="203"/>
      <c r="FP46" s="208"/>
      <c r="FQ46" s="208"/>
      <c r="FR46" s="208"/>
      <c r="FS46" s="208"/>
      <c r="FT46" s="208"/>
      <c r="FU46" s="208"/>
      <c r="FV46" s="208"/>
      <c r="FW46" s="208"/>
      <c r="FX46" s="208"/>
      <c r="FY46" s="208"/>
      <c r="FZ46" s="208"/>
      <c r="GA46" s="203"/>
      <c r="GB46" s="203"/>
      <c r="GC46" s="208"/>
      <c r="GD46" s="208"/>
      <c r="GE46" s="208"/>
      <c r="GF46" s="208"/>
      <c r="GG46" s="208"/>
      <c r="GH46" s="208"/>
      <c r="GI46" s="208"/>
      <c r="GJ46" s="208"/>
      <c r="GK46" s="208"/>
      <c r="GL46" s="208"/>
      <c r="GM46" s="208"/>
      <c r="GN46" s="203"/>
      <c r="GO46" s="203"/>
      <c r="GP46" s="208"/>
      <c r="GQ46" s="208"/>
      <c r="GR46" s="208"/>
      <c r="GS46" s="208"/>
      <c r="GT46" s="208"/>
      <c r="GU46" s="208"/>
      <c r="GV46" s="208"/>
      <c r="GW46" s="208"/>
      <c r="GX46" s="208"/>
      <c r="GY46" s="208"/>
      <c r="GZ46" s="208"/>
      <c r="HA46" s="203"/>
      <c r="HB46" s="203"/>
      <c r="HC46" s="208"/>
      <c r="HD46" s="208"/>
      <c r="HE46" s="208"/>
      <c r="HF46" s="208"/>
      <c r="HG46" s="208"/>
      <c r="HH46" s="208"/>
      <c r="HI46" s="208"/>
      <c r="HJ46" s="208"/>
      <c r="HK46" s="208"/>
      <c r="HL46" s="208"/>
      <c r="HM46" s="208"/>
      <c r="HN46" s="203"/>
      <c r="HO46" s="203"/>
      <c r="HP46" s="208"/>
      <c r="HQ46" s="208"/>
      <c r="HR46" s="208"/>
      <c r="HS46" s="208"/>
      <c r="HT46" s="208"/>
      <c r="HU46" s="208"/>
      <c r="HV46" s="208"/>
      <c r="HW46" s="208"/>
      <c r="HX46" s="208"/>
      <c r="HY46" s="208"/>
      <c r="HZ46" s="208"/>
      <c r="IA46" s="203"/>
      <c r="IB46" s="203"/>
      <c r="IC46" s="208"/>
      <c r="ID46" s="208"/>
      <c r="IE46" s="208"/>
      <c r="IF46" s="208"/>
      <c r="IG46" s="208"/>
      <c r="IH46" s="208"/>
      <c r="II46" s="208"/>
      <c r="IJ46" s="208"/>
      <c r="IK46" s="208"/>
      <c r="IL46" s="208"/>
      <c r="IM46" s="208"/>
      <c r="IN46" s="203"/>
      <c r="IO46" s="203"/>
      <c r="IP46" s="208"/>
      <c r="IQ46" s="208"/>
      <c r="IR46" s="208"/>
      <c r="IS46" s="208"/>
      <c r="IT46" s="208"/>
      <c r="IU46" s="208"/>
      <c r="IV46" s="208"/>
    </row>
    <row r="47" spans="1:256" x14ac:dyDescent="0.2">
      <c r="A47" s="214"/>
      <c r="B47" s="215"/>
      <c r="C47" s="275"/>
      <c r="D47" s="275"/>
      <c r="E47" s="275"/>
      <c r="F47" s="275"/>
      <c r="G47" s="275"/>
      <c r="H47" s="275"/>
      <c r="I47" s="275"/>
      <c r="J47" s="275"/>
      <c r="K47" s="275"/>
      <c r="L47" s="275"/>
      <c r="M47" s="276"/>
      <c r="N47" s="207"/>
      <c r="O47" s="207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03"/>
      <c r="AB47" s="203"/>
      <c r="AC47" s="208"/>
      <c r="AD47" s="208"/>
      <c r="AE47" s="208"/>
      <c r="AF47" s="208"/>
      <c r="AG47" s="208"/>
      <c r="AH47" s="208"/>
      <c r="AI47" s="208"/>
      <c r="AJ47" s="208"/>
      <c r="AK47" s="208"/>
      <c r="AL47" s="208"/>
      <c r="AM47" s="208"/>
      <c r="AN47" s="203"/>
      <c r="AO47" s="203"/>
      <c r="AP47" s="208"/>
      <c r="AQ47" s="208"/>
      <c r="AR47" s="208"/>
      <c r="AS47" s="208"/>
      <c r="AT47" s="208"/>
      <c r="AU47" s="208"/>
      <c r="AV47" s="208"/>
      <c r="AW47" s="208"/>
      <c r="AX47" s="208"/>
      <c r="AY47" s="208"/>
      <c r="AZ47" s="208"/>
      <c r="BA47" s="203"/>
      <c r="BB47" s="203"/>
      <c r="BC47" s="208"/>
      <c r="BD47" s="208"/>
      <c r="BE47" s="208"/>
      <c r="BF47" s="208"/>
      <c r="BG47" s="208"/>
      <c r="BH47" s="208"/>
      <c r="BI47" s="208"/>
      <c r="BJ47" s="208"/>
      <c r="BK47" s="208"/>
      <c r="BL47" s="208"/>
      <c r="BM47" s="208"/>
      <c r="BN47" s="203"/>
      <c r="BO47" s="203"/>
      <c r="BP47" s="208"/>
      <c r="BQ47" s="208"/>
      <c r="BR47" s="208"/>
      <c r="BS47" s="208"/>
      <c r="BT47" s="208"/>
      <c r="BU47" s="208"/>
      <c r="BV47" s="208"/>
      <c r="BW47" s="208"/>
      <c r="BX47" s="208"/>
      <c r="BY47" s="208"/>
      <c r="BZ47" s="208"/>
      <c r="CA47" s="203"/>
      <c r="CB47" s="203"/>
      <c r="CC47" s="208"/>
      <c r="CD47" s="208"/>
      <c r="CE47" s="208"/>
      <c r="CF47" s="208"/>
      <c r="CG47" s="208"/>
      <c r="CH47" s="208"/>
      <c r="CI47" s="208"/>
      <c r="CJ47" s="208"/>
      <c r="CK47" s="208"/>
      <c r="CL47" s="208"/>
      <c r="CM47" s="208"/>
      <c r="CN47" s="203"/>
      <c r="CO47" s="203"/>
      <c r="CP47" s="208"/>
      <c r="CQ47" s="208"/>
      <c r="CR47" s="208"/>
      <c r="CS47" s="208"/>
      <c r="CT47" s="208"/>
      <c r="CU47" s="208"/>
      <c r="CV47" s="208"/>
      <c r="CW47" s="208"/>
      <c r="CX47" s="208"/>
      <c r="CY47" s="208"/>
      <c r="CZ47" s="208"/>
      <c r="DA47" s="203"/>
      <c r="DB47" s="203"/>
      <c r="DC47" s="208"/>
      <c r="DD47" s="208"/>
      <c r="DE47" s="208"/>
      <c r="DF47" s="208"/>
      <c r="DG47" s="208"/>
      <c r="DH47" s="208"/>
      <c r="DI47" s="208"/>
      <c r="DJ47" s="208"/>
      <c r="DK47" s="208"/>
      <c r="DL47" s="208"/>
      <c r="DM47" s="208"/>
      <c r="DN47" s="203"/>
      <c r="DO47" s="203"/>
      <c r="DP47" s="208"/>
      <c r="DQ47" s="208"/>
      <c r="DR47" s="208"/>
      <c r="DS47" s="208"/>
      <c r="DT47" s="208"/>
      <c r="DU47" s="208"/>
      <c r="DV47" s="208"/>
      <c r="DW47" s="208"/>
      <c r="DX47" s="208"/>
      <c r="DY47" s="208"/>
      <c r="DZ47" s="208"/>
      <c r="EA47" s="203"/>
      <c r="EB47" s="203"/>
      <c r="EC47" s="208"/>
      <c r="ED47" s="208"/>
      <c r="EE47" s="208"/>
      <c r="EF47" s="208"/>
      <c r="EG47" s="208"/>
      <c r="EH47" s="208"/>
      <c r="EI47" s="208"/>
      <c r="EJ47" s="208"/>
      <c r="EK47" s="208"/>
      <c r="EL47" s="208"/>
      <c r="EM47" s="208"/>
      <c r="EN47" s="203"/>
      <c r="EO47" s="203"/>
      <c r="EP47" s="208"/>
      <c r="EQ47" s="208"/>
      <c r="ER47" s="208"/>
      <c r="ES47" s="208"/>
      <c r="ET47" s="208"/>
      <c r="EU47" s="208"/>
      <c r="EV47" s="208"/>
      <c r="EW47" s="208"/>
      <c r="EX47" s="208"/>
      <c r="EY47" s="208"/>
      <c r="EZ47" s="208"/>
      <c r="FA47" s="203"/>
      <c r="FB47" s="203"/>
      <c r="FC47" s="208"/>
      <c r="FD47" s="208"/>
      <c r="FE47" s="208"/>
      <c r="FF47" s="208"/>
      <c r="FG47" s="208"/>
      <c r="FH47" s="208"/>
      <c r="FI47" s="208"/>
      <c r="FJ47" s="208"/>
      <c r="FK47" s="208"/>
      <c r="FL47" s="208"/>
      <c r="FM47" s="208"/>
      <c r="FN47" s="203"/>
      <c r="FO47" s="203"/>
      <c r="FP47" s="208"/>
      <c r="FQ47" s="208"/>
      <c r="FR47" s="208"/>
      <c r="FS47" s="208"/>
      <c r="FT47" s="208"/>
      <c r="FU47" s="208"/>
      <c r="FV47" s="208"/>
      <c r="FW47" s="208"/>
      <c r="FX47" s="208"/>
      <c r="FY47" s="208"/>
      <c r="FZ47" s="208"/>
      <c r="GA47" s="203"/>
      <c r="GB47" s="203"/>
      <c r="GC47" s="208"/>
      <c r="GD47" s="208"/>
      <c r="GE47" s="208"/>
      <c r="GF47" s="208"/>
      <c r="GG47" s="208"/>
      <c r="GH47" s="208"/>
      <c r="GI47" s="208"/>
      <c r="GJ47" s="208"/>
      <c r="GK47" s="208"/>
      <c r="GL47" s="208"/>
      <c r="GM47" s="208"/>
      <c r="GN47" s="203"/>
      <c r="GO47" s="203"/>
      <c r="GP47" s="208"/>
      <c r="GQ47" s="208"/>
      <c r="GR47" s="208"/>
      <c r="GS47" s="208"/>
      <c r="GT47" s="208"/>
      <c r="GU47" s="208"/>
      <c r="GV47" s="208"/>
      <c r="GW47" s="208"/>
      <c r="GX47" s="208"/>
      <c r="GY47" s="208"/>
      <c r="GZ47" s="208"/>
      <c r="HA47" s="203"/>
      <c r="HB47" s="203"/>
      <c r="HC47" s="208"/>
      <c r="HD47" s="208"/>
      <c r="HE47" s="208"/>
      <c r="HF47" s="208"/>
      <c r="HG47" s="208"/>
      <c r="HH47" s="208"/>
      <c r="HI47" s="208"/>
      <c r="HJ47" s="208"/>
      <c r="HK47" s="208"/>
      <c r="HL47" s="208"/>
      <c r="HM47" s="208"/>
      <c r="HN47" s="203"/>
      <c r="HO47" s="203"/>
      <c r="HP47" s="208"/>
      <c r="HQ47" s="208"/>
      <c r="HR47" s="208"/>
      <c r="HS47" s="208"/>
      <c r="HT47" s="208"/>
      <c r="HU47" s="208"/>
      <c r="HV47" s="208"/>
      <c r="HW47" s="208"/>
      <c r="HX47" s="208"/>
      <c r="HY47" s="208"/>
      <c r="HZ47" s="208"/>
      <c r="IA47" s="203"/>
      <c r="IB47" s="203"/>
      <c r="IC47" s="208"/>
      <c r="ID47" s="208"/>
      <c r="IE47" s="208"/>
      <c r="IF47" s="208"/>
      <c r="IG47" s="208"/>
      <c r="IH47" s="208"/>
      <c r="II47" s="208"/>
      <c r="IJ47" s="208"/>
      <c r="IK47" s="208"/>
      <c r="IL47" s="208"/>
      <c r="IM47" s="208"/>
      <c r="IN47" s="203"/>
      <c r="IO47" s="203"/>
      <c r="IP47" s="208"/>
      <c r="IQ47" s="208"/>
      <c r="IR47" s="208"/>
      <c r="IS47" s="208"/>
      <c r="IT47" s="208"/>
      <c r="IU47" s="208"/>
      <c r="IV47" s="208"/>
    </row>
    <row r="48" spans="1:256" x14ac:dyDescent="0.2">
      <c r="A48" s="214"/>
      <c r="B48" s="215"/>
      <c r="C48" s="275"/>
      <c r="D48" s="275"/>
      <c r="E48" s="275"/>
      <c r="F48" s="275"/>
      <c r="G48" s="275"/>
      <c r="H48" s="275"/>
      <c r="I48" s="275"/>
      <c r="J48" s="275"/>
      <c r="K48" s="275"/>
      <c r="L48" s="275"/>
      <c r="M48" s="276"/>
      <c r="N48" s="207"/>
      <c r="O48" s="207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03"/>
      <c r="AB48" s="203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3"/>
      <c r="AO48" s="203"/>
      <c r="AP48" s="208"/>
      <c r="AQ48" s="208"/>
      <c r="AR48" s="208"/>
      <c r="AS48" s="208"/>
      <c r="AT48" s="208"/>
      <c r="AU48" s="208"/>
      <c r="AV48" s="208"/>
      <c r="AW48" s="208"/>
      <c r="AX48" s="208"/>
      <c r="AY48" s="208"/>
      <c r="AZ48" s="208"/>
      <c r="BA48" s="203"/>
      <c r="BB48" s="203"/>
      <c r="BC48" s="208"/>
      <c r="BD48" s="208"/>
      <c r="BE48" s="208"/>
      <c r="BF48" s="208"/>
      <c r="BG48" s="208"/>
      <c r="BH48" s="208"/>
      <c r="BI48" s="208"/>
      <c r="BJ48" s="208"/>
      <c r="BK48" s="208"/>
      <c r="BL48" s="208"/>
      <c r="BM48" s="208"/>
      <c r="BN48" s="203"/>
      <c r="BO48" s="203"/>
      <c r="BP48" s="208"/>
      <c r="BQ48" s="208"/>
      <c r="BR48" s="208"/>
      <c r="BS48" s="208"/>
      <c r="BT48" s="208"/>
      <c r="BU48" s="208"/>
      <c r="BV48" s="208"/>
      <c r="BW48" s="208"/>
      <c r="BX48" s="208"/>
      <c r="BY48" s="208"/>
      <c r="BZ48" s="208"/>
      <c r="CA48" s="203"/>
      <c r="CB48" s="203"/>
      <c r="CC48" s="208"/>
      <c r="CD48" s="208"/>
      <c r="CE48" s="208"/>
      <c r="CF48" s="208"/>
      <c r="CG48" s="208"/>
      <c r="CH48" s="208"/>
      <c r="CI48" s="208"/>
      <c r="CJ48" s="208"/>
      <c r="CK48" s="208"/>
      <c r="CL48" s="208"/>
      <c r="CM48" s="208"/>
      <c r="CN48" s="203"/>
      <c r="CO48" s="203"/>
      <c r="CP48" s="208"/>
      <c r="CQ48" s="208"/>
      <c r="CR48" s="208"/>
      <c r="CS48" s="208"/>
      <c r="CT48" s="208"/>
      <c r="CU48" s="208"/>
      <c r="CV48" s="208"/>
      <c r="CW48" s="208"/>
      <c r="CX48" s="208"/>
      <c r="CY48" s="208"/>
      <c r="CZ48" s="208"/>
      <c r="DA48" s="203"/>
      <c r="DB48" s="203"/>
      <c r="DC48" s="208"/>
      <c r="DD48" s="208"/>
      <c r="DE48" s="208"/>
      <c r="DF48" s="208"/>
      <c r="DG48" s="208"/>
      <c r="DH48" s="208"/>
      <c r="DI48" s="208"/>
      <c r="DJ48" s="208"/>
      <c r="DK48" s="208"/>
      <c r="DL48" s="208"/>
      <c r="DM48" s="208"/>
      <c r="DN48" s="203"/>
      <c r="DO48" s="203"/>
      <c r="DP48" s="208"/>
      <c r="DQ48" s="208"/>
      <c r="DR48" s="208"/>
      <c r="DS48" s="208"/>
      <c r="DT48" s="208"/>
      <c r="DU48" s="208"/>
      <c r="DV48" s="208"/>
      <c r="DW48" s="208"/>
      <c r="DX48" s="208"/>
      <c r="DY48" s="208"/>
      <c r="DZ48" s="208"/>
      <c r="EA48" s="203"/>
      <c r="EB48" s="203"/>
      <c r="EC48" s="208"/>
      <c r="ED48" s="208"/>
      <c r="EE48" s="208"/>
      <c r="EF48" s="208"/>
      <c r="EG48" s="208"/>
      <c r="EH48" s="208"/>
      <c r="EI48" s="208"/>
      <c r="EJ48" s="208"/>
      <c r="EK48" s="208"/>
      <c r="EL48" s="208"/>
      <c r="EM48" s="208"/>
      <c r="EN48" s="203"/>
      <c r="EO48" s="203"/>
      <c r="EP48" s="208"/>
      <c r="EQ48" s="208"/>
      <c r="ER48" s="208"/>
      <c r="ES48" s="208"/>
      <c r="ET48" s="208"/>
      <c r="EU48" s="208"/>
      <c r="EV48" s="208"/>
      <c r="EW48" s="208"/>
      <c r="EX48" s="208"/>
      <c r="EY48" s="208"/>
      <c r="EZ48" s="208"/>
      <c r="FA48" s="203"/>
      <c r="FB48" s="203"/>
      <c r="FC48" s="208"/>
      <c r="FD48" s="208"/>
      <c r="FE48" s="208"/>
      <c r="FF48" s="208"/>
      <c r="FG48" s="208"/>
      <c r="FH48" s="208"/>
      <c r="FI48" s="208"/>
      <c r="FJ48" s="208"/>
      <c r="FK48" s="208"/>
      <c r="FL48" s="208"/>
      <c r="FM48" s="208"/>
      <c r="FN48" s="203"/>
      <c r="FO48" s="203"/>
      <c r="FP48" s="208"/>
      <c r="FQ48" s="208"/>
      <c r="FR48" s="208"/>
      <c r="FS48" s="208"/>
      <c r="FT48" s="208"/>
      <c r="FU48" s="208"/>
      <c r="FV48" s="208"/>
      <c r="FW48" s="208"/>
      <c r="FX48" s="208"/>
      <c r="FY48" s="208"/>
      <c r="FZ48" s="208"/>
      <c r="GA48" s="203"/>
      <c r="GB48" s="203"/>
      <c r="GC48" s="208"/>
      <c r="GD48" s="208"/>
      <c r="GE48" s="208"/>
      <c r="GF48" s="208"/>
      <c r="GG48" s="208"/>
      <c r="GH48" s="208"/>
      <c r="GI48" s="208"/>
      <c r="GJ48" s="208"/>
      <c r="GK48" s="208"/>
      <c r="GL48" s="208"/>
      <c r="GM48" s="208"/>
      <c r="GN48" s="203"/>
      <c r="GO48" s="203"/>
      <c r="GP48" s="208"/>
      <c r="GQ48" s="208"/>
      <c r="GR48" s="208"/>
      <c r="GS48" s="208"/>
      <c r="GT48" s="208"/>
      <c r="GU48" s="208"/>
      <c r="GV48" s="208"/>
      <c r="GW48" s="208"/>
      <c r="GX48" s="208"/>
      <c r="GY48" s="208"/>
      <c r="GZ48" s="208"/>
      <c r="HA48" s="203"/>
      <c r="HB48" s="203"/>
      <c r="HC48" s="208"/>
      <c r="HD48" s="208"/>
      <c r="HE48" s="208"/>
      <c r="HF48" s="208"/>
      <c r="HG48" s="208"/>
      <c r="HH48" s="208"/>
      <c r="HI48" s="208"/>
      <c r="HJ48" s="208"/>
      <c r="HK48" s="208"/>
      <c r="HL48" s="208"/>
      <c r="HM48" s="208"/>
      <c r="HN48" s="203"/>
      <c r="HO48" s="203"/>
      <c r="HP48" s="208"/>
      <c r="HQ48" s="208"/>
      <c r="HR48" s="208"/>
      <c r="HS48" s="208"/>
      <c r="HT48" s="208"/>
      <c r="HU48" s="208"/>
      <c r="HV48" s="208"/>
      <c r="HW48" s="208"/>
      <c r="HX48" s="208"/>
      <c r="HY48" s="208"/>
      <c r="HZ48" s="208"/>
      <c r="IA48" s="203"/>
      <c r="IB48" s="203"/>
      <c r="IC48" s="208"/>
      <c r="ID48" s="208"/>
      <c r="IE48" s="208"/>
      <c r="IF48" s="208"/>
      <c r="IG48" s="208"/>
      <c r="IH48" s="208"/>
      <c r="II48" s="208"/>
      <c r="IJ48" s="208"/>
      <c r="IK48" s="208"/>
      <c r="IL48" s="208"/>
      <c r="IM48" s="208"/>
      <c r="IN48" s="203"/>
      <c r="IO48" s="203"/>
      <c r="IP48" s="208"/>
      <c r="IQ48" s="208"/>
      <c r="IR48" s="208"/>
      <c r="IS48" s="208"/>
      <c r="IT48" s="208"/>
      <c r="IU48" s="208"/>
      <c r="IV48" s="208"/>
    </row>
    <row r="49" spans="1:256" x14ac:dyDescent="0.2">
      <c r="A49" s="214"/>
      <c r="B49" s="215"/>
      <c r="C49" s="275"/>
      <c r="D49" s="275"/>
      <c r="E49" s="275"/>
      <c r="F49" s="275"/>
      <c r="G49" s="275"/>
      <c r="H49" s="275"/>
      <c r="I49" s="275"/>
      <c r="J49" s="275"/>
      <c r="K49" s="275"/>
      <c r="L49" s="275"/>
      <c r="M49" s="276"/>
      <c r="N49" s="207"/>
      <c r="O49" s="207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03"/>
      <c r="AB49" s="203"/>
      <c r="AC49" s="208"/>
      <c r="AD49" s="208"/>
      <c r="AE49" s="208"/>
      <c r="AF49" s="208"/>
      <c r="AG49" s="208"/>
      <c r="AH49" s="208"/>
      <c r="AI49" s="208"/>
      <c r="AJ49" s="208"/>
      <c r="AK49" s="208"/>
      <c r="AL49" s="208"/>
      <c r="AM49" s="208"/>
      <c r="AN49" s="203"/>
      <c r="AO49" s="203"/>
      <c r="AP49" s="208"/>
      <c r="AQ49" s="208"/>
      <c r="AR49" s="208"/>
      <c r="AS49" s="208"/>
      <c r="AT49" s="208"/>
      <c r="AU49" s="208"/>
      <c r="AV49" s="208"/>
      <c r="AW49" s="208"/>
      <c r="AX49" s="208"/>
      <c r="AY49" s="208"/>
      <c r="AZ49" s="208"/>
      <c r="BA49" s="203"/>
      <c r="BB49" s="203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08"/>
      <c r="BN49" s="203"/>
      <c r="BO49" s="203"/>
      <c r="BP49" s="208"/>
      <c r="BQ49" s="208"/>
      <c r="BR49" s="208"/>
      <c r="BS49" s="208"/>
      <c r="BT49" s="208"/>
      <c r="BU49" s="208"/>
      <c r="BV49" s="208"/>
      <c r="BW49" s="208"/>
      <c r="BX49" s="208"/>
      <c r="BY49" s="208"/>
      <c r="BZ49" s="208"/>
      <c r="CA49" s="203"/>
      <c r="CB49" s="203"/>
      <c r="CC49" s="208"/>
      <c r="CD49" s="208"/>
      <c r="CE49" s="208"/>
      <c r="CF49" s="208"/>
      <c r="CG49" s="208"/>
      <c r="CH49" s="208"/>
      <c r="CI49" s="208"/>
      <c r="CJ49" s="208"/>
      <c r="CK49" s="208"/>
      <c r="CL49" s="208"/>
      <c r="CM49" s="208"/>
      <c r="CN49" s="203"/>
      <c r="CO49" s="203"/>
      <c r="CP49" s="208"/>
      <c r="CQ49" s="208"/>
      <c r="CR49" s="208"/>
      <c r="CS49" s="208"/>
      <c r="CT49" s="208"/>
      <c r="CU49" s="208"/>
      <c r="CV49" s="208"/>
      <c r="CW49" s="208"/>
      <c r="CX49" s="208"/>
      <c r="CY49" s="208"/>
      <c r="CZ49" s="208"/>
      <c r="DA49" s="203"/>
      <c r="DB49" s="203"/>
      <c r="DC49" s="208"/>
      <c r="DD49" s="208"/>
      <c r="DE49" s="208"/>
      <c r="DF49" s="208"/>
      <c r="DG49" s="208"/>
      <c r="DH49" s="208"/>
      <c r="DI49" s="208"/>
      <c r="DJ49" s="208"/>
      <c r="DK49" s="208"/>
      <c r="DL49" s="208"/>
      <c r="DM49" s="208"/>
      <c r="DN49" s="203"/>
      <c r="DO49" s="203"/>
      <c r="DP49" s="208"/>
      <c r="DQ49" s="208"/>
      <c r="DR49" s="208"/>
      <c r="DS49" s="208"/>
      <c r="DT49" s="208"/>
      <c r="DU49" s="208"/>
      <c r="DV49" s="208"/>
      <c r="DW49" s="208"/>
      <c r="DX49" s="208"/>
      <c r="DY49" s="208"/>
      <c r="DZ49" s="208"/>
      <c r="EA49" s="203"/>
      <c r="EB49" s="203"/>
      <c r="EC49" s="208"/>
      <c r="ED49" s="208"/>
      <c r="EE49" s="208"/>
      <c r="EF49" s="208"/>
      <c r="EG49" s="208"/>
      <c r="EH49" s="208"/>
      <c r="EI49" s="208"/>
      <c r="EJ49" s="208"/>
      <c r="EK49" s="208"/>
      <c r="EL49" s="208"/>
      <c r="EM49" s="208"/>
      <c r="EN49" s="203"/>
      <c r="EO49" s="203"/>
      <c r="EP49" s="208"/>
      <c r="EQ49" s="208"/>
      <c r="ER49" s="208"/>
      <c r="ES49" s="208"/>
      <c r="ET49" s="208"/>
      <c r="EU49" s="208"/>
      <c r="EV49" s="208"/>
      <c r="EW49" s="208"/>
      <c r="EX49" s="208"/>
      <c r="EY49" s="208"/>
      <c r="EZ49" s="208"/>
      <c r="FA49" s="203"/>
      <c r="FB49" s="203"/>
      <c r="FC49" s="208"/>
      <c r="FD49" s="208"/>
      <c r="FE49" s="208"/>
      <c r="FF49" s="208"/>
      <c r="FG49" s="208"/>
      <c r="FH49" s="208"/>
      <c r="FI49" s="208"/>
      <c r="FJ49" s="208"/>
      <c r="FK49" s="208"/>
      <c r="FL49" s="208"/>
      <c r="FM49" s="208"/>
      <c r="FN49" s="203"/>
      <c r="FO49" s="203"/>
      <c r="FP49" s="208"/>
      <c r="FQ49" s="208"/>
      <c r="FR49" s="208"/>
      <c r="FS49" s="208"/>
      <c r="FT49" s="208"/>
      <c r="FU49" s="208"/>
      <c r="FV49" s="208"/>
      <c r="FW49" s="208"/>
      <c r="FX49" s="208"/>
      <c r="FY49" s="208"/>
      <c r="FZ49" s="208"/>
      <c r="GA49" s="203"/>
      <c r="GB49" s="203"/>
      <c r="GC49" s="208"/>
      <c r="GD49" s="208"/>
      <c r="GE49" s="208"/>
      <c r="GF49" s="208"/>
      <c r="GG49" s="208"/>
      <c r="GH49" s="208"/>
      <c r="GI49" s="208"/>
      <c r="GJ49" s="208"/>
      <c r="GK49" s="208"/>
      <c r="GL49" s="208"/>
      <c r="GM49" s="208"/>
      <c r="GN49" s="203"/>
      <c r="GO49" s="203"/>
      <c r="GP49" s="208"/>
      <c r="GQ49" s="208"/>
      <c r="GR49" s="208"/>
      <c r="GS49" s="208"/>
      <c r="GT49" s="208"/>
      <c r="GU49" s="208"/>
      <c r="GV49" s="208"/>
      <c r="GW49" s="208"/>
      <c r="GX49" s="208"/>
      <c r="GY49" s="208"/>
      <c r="GZ49" s="208"/>
      <c r="HA49" s="203"/>
      <c r="HB49" s="203"/>
      <c r="HC49" s="208"/>
      <c r="HD49" s="208"/>
      <c r="HE49" s="208"/>
      <c r="HF49" s="208"/>
      <c r="HG49" s="208"/>
      <c r="HH49" s="208"/>
      <c r="HI49" s="208"/>
      <c r="HJ49" s="208"/>
      <c r="HK49" s="208"/>
      <c r="HL49" s="208"/>
      <c r="HM49" s="208"/>
      <c r="HN49" s="203"/>
      <c r="HO49" s="203"/>
      <c r="HP49" s="208"/>
      <c r="HQ49" s="208"/>
      <c r="HR49" s="208"/>
      <c r="HS49" s="208"/>
      <c r="HT49" s="208"/>
      <c r="HU49" s="208"/>
      <c r="HV49" s="208"/>
      <c r="HW49" s="208"/>
      <c r="HX49" s="208"/>
      <c r="HY49" s="208"/>
      <c r="HZ49" s="208"/>
      <c r="IA49" s="203"/>
      <c r="IB49" s="203"/>
      <c r="IC49" s="208"/>
      <c r="ID49" s="208"/>
      <c r="IE49" s="208"/>
      <c r="IF49" s="208"/>
      <c r="IG49" s="208"/>
      <c r="IH49" s="208"/>
      <c r="II49" s="208"/>
      <c r="IJ49" s="208"/>
      <c r="IK49" s="208"/>
      <c r="IL49" s="208"/>
      <c r="IM49" s="208"/>
      <c r="IN49" s="203"/>
      <c r="IO49" s="203"/>
      <c r="IP49" s="208"/>
      <c r="IQ49" s="208"/>
      <c r="IR49" s="208"/>
      <c r="IS49" s="208"/>
      <c r="IT49" s="208"/>
      <c r="IU49" s="208"/>
      <c r="IV49" s="208"/>
    </row>
    <row r="50" spans="1:256" x14ac:dyDescent="0.2">
      <c r="A50" s="214"/>
      <c r="B50" s="215"/>
      <c r="C50" s="275"/>
      <c r="D50" s="275"/>
      <c r="E50" s="275"/>
      <c r="F50" s="275"/>
      <c r="G50" s="275"/>
      <c r="H50" s="275"/>
      <c r="I50" s="275"/>
      <c r="J50" s="275"/>
      <c r="K50" s="275"/>
      <c r="L50" s="275"/>
      <c r="M50" s="276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4"/>
      <c r="B51" s="215"/>
      <c r="C51" s="275"/>
      <c r="D51" s="275"/>
      <c r="E51" s="275"/>
      <c r="F51" s="275"/>
      <c r="G51" s="275"/>
      <c r="H51" s="275"/>
      <c r="I51" s="275"/>
      <c r="J51" s="275"/>
      <c r="K51" s="275"/>
      <c r="L51" s="275"/>
      <c r="M51" s="276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4"/>
      <c r="B52" s="215"/>
      <c r="C52" s="275"/>
      <c r="D52" s="275"/>
      <c r="E52" s="275"/>
      <c r="F52" s="275"/>
      <c r="G52" s="275"/>
      <c r="H52" s="275"/>
      <c r="I52" s="275"/>
      <c r="J52" s="275"/>
      <c r="K52" s="275"/>
      <c r="L52" s="275"/>
      <c r="M52" s="276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4"/>
      <c r="B53" s="215"/>
      <c r="C53" s="275"/>
      <c r="D53" s="275"/>
      <c r="E53" s="275"/>
      <c r="F53" s="275"/>
      <c r="G53" s="275"/>
      <c r="H53" s="275"/>
      <c r="I53" s="275"/>
      <c r="J53" s="275"/>
      <c r="K53" s="275"/>
      <c r="L53" s="275"/>
      <c r="M53" s="276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4"/>
      <c r="B54" s="215"/>
      <c r="C54" s="275"/>
      <c r="D54" s="275"/>
      <c r="E54" s="275"/>
      <c r="F54" s="275"/>
      <c r="G54" s="275"/>
      <c r="H54" s="275"/>
      <c r="I54" s="275"/>
      <c r="J54" s="275"/>
      <c r="K54" s="275"/>
      <c r="L54" s="275"/>
      <c r="M54" s="276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4"/>
      <c r="B55" s="215"/>
      <c r="C55" s="275"/>
      <c r="D55" s="275"/>
      <c r="E55" s="275"/>
      <c r="F55" s="275"/>
      <c r="G55" s="275"/>
      <c r="H55" s="275"/>
      <c r="I55" s="275"/>
      <c r="J55" s="275"/>
      <c r="K55" s="275"/>
      <c r="L55" s="275"/>
      <c r="M55" s="276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4"/>
      <c r="B56" s="215"/>
      <c r="C56" s="275"/>
      <c r="D56" s="275"/>
      <c r="E56" s="275"/>
      <c r="F56" s="275"/>
      <c r="G56" s="275"/>
      <c r="H56" s="275"/>
      <c r="I56" s="275"/>
      <c r="J56" s="275"/>
      <c r="K56" s="275"/>
      <c r="L56" s="275"/>
      <c r="M56" s="276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4"/>
      <c r="B57" s="215"/>
      <c r="C57" s="275"/>
      <c r="D57" s="275"/>
      <c r="E57" s="275"/>
      <c r="F57" s="275"/>
      <c r="G57" s="275"/>
      <c r="H57" s="275"/>
      <c r="I57" s="275"/>
      <c r="J57" s="275"/>
      <c r="K57" s="275"/>
      <c r="L57" s="275"/>
      <c r="M57" s="276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4"/>
      <c r="B58" s="215"/>
      <c r="C58" s="275"/>
      <c r="D58" s="275"/>
      <c r="E58" s="275"/>
      <c r="F58" s="275"/>
      <c r="G58" s="275"/>
      <c r="H58" s="275"/>
      <c r="I58" s="275"/>
      <c r="J58" s="275"/>
      <c r="K58" s="275"/>
      <c r="L58" s="275"/>
      <c r="M58" s="276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4"/>
      <c r="B59" s="215"/>
      <c r="C59" s="275"/>
      <c r="D59" s="275"/>
      <c r="E59" s="275"/>
      <c r="F59" s="275"/>
      <c r="G59" s="275"/>
      <c r="H59" s="275"/>
      <c r="I59" s="275"/>
      <c r="J59" s="275"/>
      <c r="K59" s="275"/>
      <c r="L59" s="275"/>
      <c r="M59" s="276"/>
    </row>
    <row r="60" spans="1:256" x14ac:dyDescent="0.2">
      <c r="A60" s="214"/>
      <c r="B60" s="215"/>
      <c r="C60" s="275"/>
      <c r="D60" s="275"/>
      <c r="E60" s="275"/>
      <c r="F60" s="275"/>
      <c r="G60" s="275"/>
      <c r="H60" s="275"/>
      <c r="I60" s="275"/>
      <c r="J60" s="275"/>
      <c r="K60" s="275"/>
      <c r="L60" s="275"/>
      <c r="M60" s="276"/>
    </row>
    <row r="61" spans="1:256" x14ac:dyDescent="0.2">
      <c r="A61" s="214"/>
      <c r="B61" s="215"/>
      <c r="C61" s="275"/>
      <c r="D61" s="275"/>
      <c r="E61" s="275"/>
      <c r="F61" s="275"/>
      <c r="G61" s="275"/>
      <c r="H61" s="275"/>
      <c r="I61" s="275"/>
      <c r="J61" s="275"/>
      <c r="K61" s="275"/>
      <c r="L61" s="275"/>
      <c r="M61" s="276"/>
    </row>
    <row r="62" spans="1:256" x14ac:dyDescent="0.2">
      <c r="A62" s="214"/>
      <c r="B62" s="215"/>
      <c r="C62" s="275"/>
      <c r="D62" s="275"/>
      <c r="E62" s="275"/>
      <c r="F62" s="275"/>
      <c r="G62" s="275"/>
      <c r="H62" s="275"/>
      <c r="I62" s="275"/>
      <c r="J62" s="275"/>
      <c r="K62" s="275"/>
      <c r="L62" s="275"/>
      <c r="M62" s="276"/>
    </row>
    <row r="63" spans="1:256" x14ac:dyDescent="0.2">
      <c r="A63" s="214"/>
      <c r="B63" s="215"/>
      <c r="C63" s="275"/>
      <c r="D63" s="275"/>
      <c r="E63" s="275"/>
      <c r="F63" s="275"/>
      <c r="G63" s="275"/>
      <c r="H63" s="275"/>
      <c r="I63" s="275"/>
      <c r="J63" s="275"/>
      <c r="K63" s="275"/>
      <c r="L63" s="275"/>
      <c r="M63" s="276"/>
    </row>
    <row r="64" spans="1:256" x14ac:dyDescent="0.2">
      <c r="A64" s="214"/>
      <c r="B64" s="215"/>
      <c r="C64" s="275"/>
      <c r="D64" s="275"/>
      <c r="E64" s="275"/>
      <c r="F64" s="275"/>
      <c r="G64" s="275"/>
      <c r="H64" s="275"/>
      <c r="I64" s="275"/>
      <c r="J64" s="275"/>
      <c r="K64" s="275"/>
      <c r="L64" s="275"/>
      <c r="M64" s="276"/>
    </row>
    <row r="65" spans="1:13" x14ac:dyDescent="0.2">
      <c r="A65" s="214"/>
      <c r="B65" s="215"/>
      <c r="C65" s="275"/>
      <c r="D65" s="275"/>
      <c r="E65" s="275"/>
      <c r="F65" s="275"/>
      <c r="G65" s="275"/>
      <c r="H65" s="275"/>
      <c r="I65" s="275"/>
      <c r="J65" s="275"/>
      <c r="K65" s="275"/>
      <c r="L65" s="275"/>
      <c r="M65" s="276"/>
    </row>
    <row r="66" spans="1:13" x14ac:dyDescent="0.2">
      <c r="A66" s="214"/>
      <c r="B66" s="21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6"/>
    </row>
    <row r="67" spans="1:13" x14ac:dyDescent="0.2">
      <c r="A67" s="214"/>
      <c r="B67" s="215"/>
      <c r="C67" s="275"/>
      <c r="D67" s="275"/>
      <c r="E67" s="275"/>
      <c r="F67" s="275"/>
      <c r="G67" s="275"/>
      <c r="H67" s="275"/>
      <c r="I67" s="275"/>
      <c r="J67" s="275"/>
      <c r="K67" s="275"/>
      <c r="L67" s="275"/>
      <c r="M67" s="276"/>
    </row>
    <row r="68" spans="1:13" x14ac:dyDescent="0.2">
      <c r="A68" s="214"/>
      <c r="B68" s="215"/>
      <c r="C68" s="275"/>
      <c r="D68" s="275"/>
      <c r="E68" s="275"/>
      <c r="F68" s="275"/>
      <c r="G68" s="275"/>
      <c r="H68" s="275"/>
      <c r="I68" s="275"/>
      <c r="J68" s="275"/>
      <c r="K68" s="275"/>
      <c r="L68" s="275"/>
      <c r="M68" s="276"/>
    </row>
    <row r="69" spans="1:13" x14ac:dyDescent="0.2">
      <c r="A69" s="214"/>
      <c r="B69" s="215"/>
      <c r="C69" s="275"/>
      <c r="D69" s="275"/>
      <c r="E69" s="275"/>
      <c r="F69" s="275"/>
      <c r="G69" s="275"/>
      <c r="H69" s="275"/>
      <c r="I69" s="275"/>
      <c r="J69" s="275"/>
      <c r="K69" s="275"/>
      <c r="L69" s="275"/>
      <c r="M69" s="276"/>
    </row>
    <row r="70" spans="1:13" ht="12" thickBot="1" x14ac:dyDescent="0.25">
      <c r="A70" s="216"/>
      <c r="B70" s="217"/>
      <c r="C70" s="289"/>
      <c r="D70" s="289"/>
      <c r="E70" s="289"/>
      <c r="F70" s="289"/>
      <c r="G70" s="289"/>
      <c r="H70" s="289"/>
      <c r="I70" s="289"/>
      <c r="J70" s="289"/>
      <c r="K70" s="289"/>
      <c r="L70" s="289"/>
      <c r="M70" s="290"/>
    </row>
    <row r="71" spans="1:13" ht="12" thickTop="1" x14ac:dyDescent="0.2">
      <c r="A71" s="204"/>
      <c r="B71" s="204"/>
      <c r="C71" s="205"/>
      <c r="D71" s="205"/>
      <c r="E71" s="205"/>
      <c r="F71" s="205"/>
      <c r="G71" s="205"/>
      <c r="H71" s="205"/>
      <c r="I71" s="205"/>
      <c r="J71" s="205"/>
      <c r="K71" s="205"/>
      <c r="L71" s="205"/>
    </row>
    <row r="72" spans="1:13" ht="12.75" x14ac:dyDescent="0.2">
      <c r="A72" s="291" t="s">
        <v>879</v>
      </c>
      <c r="B72" s="291"/>
      <c r="C72" s="291"/>
      <c r="D72" s="291"/>
      <c r="E72" s="291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6" t="s">
        <v>799</v>
      </c>
      <c r="B73" s="206" t="s">
        <v>800</v>
      </c>
      <c r="C73" s="292"/>
      <c r="D73" s="292"/>
      <c r="E73" s="292"/>
      <c r="F73" s="292"/>
      <c r="G73" s="292"/>
      <c r="H73" s="292"/>
      <c r="I73" s="292"/>
      <c r="J73" s="292"/>
      <c r="K73" s="292"/>
      <c r="L73" s="292"/>
      <c r="M73" s="292"/>
    </row>
    <row r="74" spans="1:13" x14ac:dyDescent="0.2">
      <c r="A74" s="207"/>
      <c r="B74" s="207"/>
      <c r="C74" s="292"/>
      <c r="D74" s="292"/>
      <c r="E74" s="292"/>
      <c r="F74" s="292"/>
      <c r="G74" s="292"/>
      <c r="H74" s="292"/>
      <c r="I74" s="292"/>
      <c r="J74" s="292"/>
      <c r="K74" s="292"/>
      <c r="L74" s="292"/>
      <c r="M74" s="292"/>
    </row>
    <row r="75" spans="1:13" x14ac:dyDescent="0.2">
      <c r="A75" s="207"/>
      <c r="B75" s="207"/>
      <c r="C75" s="292"/>
      <c r="D75" s="292"/>
      <c r="E75" s="292"/>
      <c r="F75" s="292"/>
      <c r="G75" s="292"/>
      <c r="H75" s="292"/>
      <c r="I75" s="292"/>
      <c r="J75" s="292"/>
      <c r="K75" s="292"/>
      <c r="L75" s="292"/>
      <c r="M75" s="292"/>
    </row>
    <row r="76" spans="1:13" x14ac:dyDescent="0.2">
      <c r="A76" s="207"/>
      <c r="B76" s="207"/>
      <c r="C76" s="292"/>
      <c r="D76" s="292"/>
      <c r="E76" s="292"/>
      <c r="F76" s="292"/>
      <c r="G76" s="292"/>
      <c r="H76" s="292"/>
      <c r="I76" s="292"/>
      <c r="J76" s="292"/>
      <c r="K76" s="292"/>
      <c r="L76" s="292"/>
      <c r="M76" s="292"/>
    </row>
    <row r="77" spans="1:13" x14ac:dyDescent="0.2">
      <c r="A77" s="207"/>
      <c r="B77" s="207"/>
      <c r="C77" s="292"/>
      <c r="D77" s="292"/>
      <c r="E77" s="292"/>
      <c r="F77" s="292"/>
      <c r="G77" s="292"/>
      <c r="H77" s="292"/>
      <c r="I77" s="292"/>
      <c r="J77" s="292"/>
      <c r="K77" s="292"/>
      <c r="L77" s="292"/>
      <c r="M77" s="292"/>
    </row>
    <row r="78" spans="1:13" x14ac:dyDescent="0.2">
      <c r="A78" s="207"/>
      <c r="B78" s="207"/>
      <c r="C78" s="292"/>
      <c r="D78" s="292"/>
      <c r="E78" s="292"/>
      <c r="F78" s="292"/>
      <c r="G78" s="292"/>
      <c r="H78" s="292"/>
      <c r="I78" s="292"/>
      <c r="J78" s="292"/>
      <c r="K78" s="292"/>
      <c r="L78" s="292"/>
      <c r="M78" s="292"/>
    </row>
    <row r="79" spans="1:13" x14ac:dyDescent="0.2">
      <c r="A79" s="207"/>
      <c r="B79" s="207"/>
      <c r="C79" s="292"/>
      <c r="D79" s="292"/>
      <c r="E79" s="292"/>
      <c r="F79" s="292"/>
      <c r="G79" s="292"/>
      <c r="H79" s="292"/>
      <c r="I79" s="292"/>
      <c r="J79" s="292"/>
      <c r="K79" s="292"/>
      <c r="L79" s="292"/>
      <c r="M79" s="292"/>
    </row>
    <row r="80" spans="1:13" x14ac:dyDescent="0.2">
      <c r="A80" s="207"/>
      <c r="B80" s="207"/>
      <c r="C80" s="292"/>
      <c r="D80" s="292"/>
      <c r="E80" s="292"/>
      <c r="F80" s="292"/>
      <c r="G80" s="292"/>
      <c r="H80" s="292"/>
      <c r="I80" s="292"/>
      <c r="J80" s="292"/>
      <c r="K80" s="292"/>
      <c r="L80" s="292"/>
      <c r="M80" s="292"/>
    </row>
    <row r="81" spans="1:13" x14ac:dyDescent="0.2">
      <c r="A81" s="207"/>
      <c r="B81" s="207"/>
      <c r="C81" s="292"/>
      <c r="D81" s="292"/>
      <c r="E81" s="292"/>
      <c r="F81" s="292"/>
      <c r="G81" s="292"/>
      <c r="H81" s="292"/>
      <c r="I81" s="292"/>
      <c r="J81" s="292"/>
      <c r="K81" s="292"/>
      <c r="L81" s="292"/>
      <c r="M81" s="292"/>
    </row>
    <row r="82" spans="1:13" x14ac:dyDescent="0.2">
      <c r="A82" s="207"/>
      <c r="B82" s="207"/>
      <c r="C82" s="292"/>
      <c r="D82" s="292"/>
      <c r="E82" s="292"/>
      <c r="F82" s="292"/>
      <c r="G82" s="292"/>
      <c r="H82" s="292"/>
      <c r="I82" s="292"/>
      <c r="J82" s="292"/>
      <c r="K82" s="292"/>
      <c r="L82" s="292"/>
      <c r="M82" s="292"/>
    </row>
    <row r="83" spans="1:13" x14ac:dyDescent="0.2">
      <c r="A83" s="207"/>
      <c r="B83" s="207"/>
      <c r="C83" s="292"/>
      <c r="D83" s="292"/>
      <c r="E83" s="292"/>
      <c r="F83" s="292"/>
      <c r="G83" s="292"/>
      <c r="H83" s="292"/>
      <c r="I83" s="292"/>
      <c r="J83" s="292"/>
      <c r="K83" s="292"/>
      <c r="L83" s="292"/>
      <c r="M83" s="292"/>
    </row>
    <row r="84" spans="1:13" x14ac:dyDescent="0.2">
      <c r="A84" s="207"/>
      <c r="B84" s="207"/>
      <c r="C84" s="292"/>
      <c r="D84" s="292"/>
      <c r="E84" s="292"/>
      <c r="F84" s="292"/>
      <c r="G84" s="292"/>
      <c r="H84" s="292"/>
      <c r="I84" s="292"/>
      <c r="J84" s="292"/>
      <c r="K84" s="292"/>
      <c r="L84" s="292"/>
      <c r="M84" s="292"/>
    </row>
    <row r="85" spans="1:13" x14ac:dyDescent="0.2">
      <c r="A85" s="207"/>
      <c r="B85" s="207"/>
      <c r="C85" s="292"/>
      <c r="D85" s="292"/>
      <c r="E85" s="292"/>
      <c r="F85" s="292"/>
      <c r="G85" s="292"/>
      <c r="H85" s="292"/>
      <c r="I85" s="292"/>
      <c r="J85" s="292"/>
      <c r="K85" s="292"/>
      <c r="L85" s="292"/>
      <c r="M85" s="292"/>
    </row>
    <row r="86" spans="1:13" x14ac:dyDescent="0.2">
      <c r="A86" s="207"/>
      <c r="B86" s="207"/>
      <c r="C86" s="292"/>
      <c r="D86" s="292"/>
      <c r="E86" s="292"/>
      <c r="F86" s="292"/>
      <c r="G86" s="292"/>
      <c r="H86" s="292"/>
      <c r="I86" s="292"/>
      <c r="J86" s="292"/>
      <c r="K86" s="292"/>
      <c r="L86" s="292"/>
      <c r="M86" s="292"/>
    </row>
    <row r="87" spans="1:13" x14ac:dyDescent="0.2">
      <c r="A87" s="207"/>
      <c r="B87" s="207"/>
      <c r="C87" s="292"/>
      <c r="D87" s="292"/>
      <c r="E87" s="292"/>
      <c r="F87" s="292"/>
      <c r="G87" s="292"/>
      <c r="H87" s="292"/>
      <c r="I87" s="292"/>
      <c r="J87" s="292"/>
      <c r="K87" s="292"/>
      <c r="L87" s="292"/>
      <c r="M87" s="292"/>
    </row>
    <row r="88" spans="1:13" x14ac:dyDescent="0.2">
      <c r="A88" s="207"/>
      <c r="B88" s="207"/>
      <c r="C88" s="292"/>
      <c r="D88" s="292"/>
      <c r="E88" s="292"/>
      <c r="F88" s="292"/>
      <c r="G88" s="292"/>
      <c r="H88" s="292"/>
      <c r="I88" s="292"/>
      <c r="J88" s="292"/>
      <c r="K88" s="292"/>
      <c r="L88" s="292"/>
      <c r="M88" s="292"/>
    </row>
    <row r="89" spans="1:13" x14ac:dyDescent="0.2">
      <c r="A89" s="207"/>
      <c r="B89" s="207"/>
      <c r="C89" s="292"/>
      <c r="D89" s="292"/>
      <c r="E89" s="292"/>
      <c r="F89" s="292"/>
      <c r="G89" s="292"/>
      <c r="H89" s="292"/>
      <c r="I89" s="292"/>
      <c r="J89" s="292"/>
      <c r="K89" s="292"/>
      <c r="L89" s="292"/>
      <c r="M89" s="292"/>
    </row>
    <row r="90" spans="1:13" x14ac:dyDescent="0.2">
      <c r="A90" s="207"/>
      <c r="B90" s="207"/>
      <c r="C90" s="292"/>
      <c r="D90" s="292"/>
      <c r="E90" s="292"/>
      <c r="F90" s="292"/>
      <c r="G90" s="292"/>
      <c r="H90" s="292"/>
      <c r="I90" s="292"/>
      <c r="J90" s="292"/>
      <c r="K90" s="292"/>
      <c r="L90" s="292"/>
      <c r="M90" s="292"/>
    </row>
  </sheetData>
  <sheetProtection password="B3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P39:CZ39"/>
    <mergeCell ref="BP39:BZ39"/>
    <mergeCell ref="CC39:CM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2011-11-02T17:29:28Z</cp:lastPrinted>
  <dcterms:created xsi:type="dcterms:W3CDTF">1997-12-04T19:04:30Z</dcterms:created>
  <dcterms:modified xsi:type="dcterms:W3CDTF">2025-01-16T15:39:58Z</dcterms:modified>
</cp:coreProperties>
</file>