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4A98A73-ED6D-41D5-BF00-D17EAE1AFEDF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E8B36DF-51B7-4D99-8A45-F50F747A502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2" i="1" l="1"/>
  <c r="L232" i="1"/>
  <c r="H146" i="1"/>
  <c r="H94" i="1"/>
  <c r="H147" i="1"/>
  <c r="I350" i="1"/>
  <c r="H350" i="1"/>
  <c r="G350" i="1"/>
  <c r="F350" i="1"/>
  <c r="F485" i="1"/>
  <c r="F462" i="1"/>
  <c r="H622" i="1"/>
  <c r="F42" i="1"/>
  <c r="C41" i="2"/>
  <c r="F29" i="1"/>
  <c r="H512" i="1"/>
  <c r="H511" i="1"/>
  <c r="H214" i="1"/>
  <c r="H208" i="1"/>
  <c r="L208" i="1"/>
  <c r="H201" i="1"/>
  <c r="H199" i="1"/>
  <c r="L199" i="1"/>
  <c r="H196" i="1"/>
  <c r="H195" i="1"/>
  <c r="H194" i="1"/>
  <c r="H190" i="1"/>
  <c r="L190" i="1"/>
  <c r="H189" i="1"/>
  <c r="C37" i="10"/>
  <c r="C60" i="2"/>
  <c r="B2" i="13"/>
  <c r="F8" i="13"/>
  <c r="G8" i="13"/>
  <c r="L196" i="1"/>
  <c r="L214" i="1"/>
  <c r="D39" i="13"/>
  <c r="F13" i="13"/>
  <c r="G13" i="13"/>
  <c r="L198" i="1"/>
  <c r="L216" i="1"/>
  <c r="L234" i="1"/>
  <c r="F16" i="13"/>
  <c r="G16" i="13"/>
  <c r="L201" i="1"/>
  <c r="L219" i="1"/>
  <c r="L237" i="1"/>
  <c r="F5" i="13"/>
  <c r="G5" i="13"/>
  <c r="L189" i="1"/>
  <c r="L191" i="1"/>
  <c r="L209" i="1"/>
  <c r="L227" i="1"/>
  <c r="C103" i="2"/>
  <c r="L192" i="1"/>
  <c r="L207" i="1"/>
  <c r="L210" i="1"/>
  <c r="L225" i="1"/>
  <c r="L226" i="1"/>
  <c r="L228" i="1"/>
  <c r="F6" i="13"/>
  <c r="G6" i="13"/>
  <c r="L194" i="1"/>
  <c r="L212" i="1"/>
  <c r="L230" i="1"/>
  <c r="D6" i="13"/>
  <c r="C6" i="13"/>
  <c r="F7" i="13"/>
  <c r="G7" i="13"/>
  <c r="L195" i="1"/>
  <c r="L213" i="1"/>
  <c r="L231" i="1"/>
  <c r="F12" i="13"/>
  <c r="G12" i="13"/>
  <c r="L197" i="1"/>
  <c r="L215" i="1"/>
  <c r="L233" i="1"/>
  <c r="F14" i="13"/>
  <c r="G14" i="13"/>
  <c r="L217" i="1"/>
  <c r="L235" i="1"/>
  <c r="D14" i="13"/>
  <c r="C14" i="13"/>
  <c r="F15" i="13"/>
  <c r="G15" i="13"/>
  <c r="L200" i="1"/>
  <c r="L218" i="1"/>
  <c r="L236" i="1"/>
  <c r="F17" i="13"/>
  <c r="G17" i="13"/>
  <c r="L243" i="1"/>
  <c r="F18" i="13"/>
  <c r="G18" i="13"/>
  <c r="L244" i="1"/>
  <c r="D18" i="13"/>
  <c r="C18" i="13"/>
  <c r="F19" i="13"/>
  <c r="G19" i="13"/>
  <c r="L245" i="1"/>
  <c r="D19" i="13"/>
  <c r="F29" i="13"/>
  <c r="G29" i="13"/>
  <c r="L350" i="1"/>
  <c r="L351" i="1"/>
  <c r="L352" i="1"/>
  <c r="I359" i="1"/>
  <c r="J282" i="1"/>
  <c r="J301" i="1"/>
  <c r="J320" i="1"/>
  <c r="K282" i="1"/>
  <c r="K301" i="1"/>
  <c r="K320" i="1"/>
  <c r="L268" i="1"/>
  <c r="L269" i="1"/>
  <c r="L270" i="1"/>
  <c r="L271" i="1"/>
  <c r="L273" i="1"/>
  <c r="L274" i="1"/>
  <c r="L275" i="1"/>
  <c r="L276" i="1"/>
  <c r="L277" i="1"/>
  <c r="L296" i="1"/>
  <c r="L315" i="1"/>
  <c r="C19" i="10"/>
  <c r="L278" i="1"/>
  <c r="L279" i="1"/>
  <c r="L280" i="1"/>
  <c r="L287" i="1"/>
  <c r="L306" i="1"/>
  <c r="E101" i="2"/>
  <c r="L288" i="1"/>
  <c r="L289" i="1"/>
  <c r="L290" i="1"/>
  <c r="L309" i="1"/>
  <c r="C13" i="10"/>
  <c r="L292" i="1"/>
  <c r="L293" i="1"/>
  <c r="L294" i="1"/>
  <c r="L295" i="1"/>
  <c r="L297" i="1"/>
  <c r="L298" i="1"/>
  <c r="L299" i="1"/>
  <c r="L307" i="1"/>
  <c r="L308" i="1"/>
  <c r="L311" i="1"/>
  <c r="L312" i="1"/>
  <c r="L313" i="1"/>
  <c r="L314" i="1"/>
  <c r="L316" i="1"/>
  <c r="C20" i="10"/>
  <c r="L317" i="1"/>
  <c r="L318" i="1"/>
  <c r="L325" i="1"/>
  <c r="L326" i="1"/>
  <c r="L327" i="1"/>
  <c r="L252" i="1"/>
  <c r="L253" i="1"/>
  <c r="L333" i="1"/>
  <c r="L334" i="1"/>
  <c r="L247" i="1"/>
  <c r="L328" i="1"/>
  <c r="F22" i="13"/>
  <c r="C22" i="13"/>
  <c r="C19" i="13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B9" i="12"/>
  <c r="B13" i="12"/>
  <c r="C9" i="12"/>
  <c r="C13" i="12"/>
  <c r="A13" i="12"/>
  <c r="B18" i="12"/>
  <c r="B22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I653" i="1"/>
  <c r="C40" i="10"/>
  <c r="F52" i="1"/>
  <c r="C48" i="2"/>
  <c r="G52" i="1"/>
  <c r="H52" i="1"/>
  <c r="E48" i="2"/>
  <c r="I52" i="1"/>
  <c r="F71" i="1"/>
  <c r="C49" i="2"/>
  <c r="F86" i="1"/>
  <c r="F103" i="1"/>
  <c r="G103" i="1"/>
  <c r="H71" i="1"/>
  <c r="H86" i="1"/>
  <c r="H103" i="1"/>
  <c r="I103" i="1"/>
  <c r="J103" i="1"/>
  <c r="J104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F154" i="1"/>
  <c r="F161" i="1"/>
  <c r="G139" i="1"/>
  <c r="D77" i="2"/>
  <c r="G154" i="1"/>
  <c r="G161" i="1"/>
  <c r="H139" i="1"/>
  <c r="I139" i="1"/>
  <c r="F77" i="2"/>
  <c r="I154" i="1"/>
  <c r="I161" i="1"/>
  <c r="L242" i="1"/>
  <c r="C105" i="2"/>
  <c r="L324" i="1"/>
  <c r="C23" i="10"/>
  <c r="L246" i="1"/>
  <c r="C24" i="10"/>
  <c r="L260" i="1"/>
  <c r="L261" i="1"/>
  <c r="L341" i="1"/>
  <c r="L342" i="1"/>
  <c r="I655" i="1"/>
  <c r="I660" i="1"/>
  <c r="F651" i="1"/>
  <c r="H652" i="1"/>
  <c r="I659" i="1"/>
  <c r="C6" i="10"/>
  <c r="C5" i="10"/>
  <c r="C42" i="10"/>
  <c r="L366" i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/>
  <c r="L517" i="1"/>
  <c r="G540" i="1"/>
  <c r="L522" i="1"/>
  <c r="H540" i="1"/>
  <c r="L527" i="1"/>
  <c r="I540" i="1"/>
  <c r="L532" i="1"/>
  <c r="J540" i="1"/>
  <c r="K540" i="1"/>
  <c r="L513" i="1"/>
  <c r="F541" i="1"/>
  <c r="L516" i="1"/>
  <c r="G539" i="1"/>
  <c r="L518" i="1"/>
  <c r="G541" i="1"/>
  <c r="L521" i="1"/>
  <c r="H539" i="1"/>
  <c r="L523" i="1"/>
  <c r="H541" i="1"/>
  <c r="L526" i="1"/>
  <c r="I539" i="1"/>
  <c r="L528" i="1"/>
  <c r="I541" i="1"/>
  <c r="L531" i="1"/>
  <c r="J539" i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C11" i="2"/>
  <c r="C12" i="2"/>
  <c r="C13" i="2"/>
  <c r="C14" i="2"/>
  <c r="C16" i="2"/>
  <c r="C17" i="2"/>
  <c r="C18" i="2"/>
  <c r="D12" i="2"/>
  <c r="E12" i="2"/>
  <c r="F12" i="2"/>
  <c r="I433" i="1"/>
  <c r="J12" i="1"/>
  <c r="G12" i="2"/>
  <c r="D13" i="2"/>
  <c r="E13" i="2"/>
  <c r="F13" i="2"/>
  <c r="I434" i="1"/>
  <c r="J13" i="1"/>
  <c r="G13" i="2"/>
  <c r="D14" i="2"/>
  <c r="E14" i="2"/>
  <c r="F14" i="2"/>
  <c r="I435" i="1"/>
  <c r="J14" i="1"/>
  <c r="G14" i="2"/>
  <c r="F15" i="2"/>
  <c r="D16" i="2"/>
  <c r="E16" i="2"/>
  <c r="F16" i="2"/>
  <c r="D17" i="2"/>
  <c r="E17" i="2"/>
  <c r="F17" i="2"/>
  <c r="I436" i="1"/>
  <c r="J17" i="1"/>
  <c r="G17" i="2"/>
  <c r="D18" i="2"/>
  <c r="E18" i="2"/>
  <c r="F18" i="2"/>
  <c r="I437" i="1"/>
  <c r="J18" i="1"/>
  <c r="G18" i="2"/>
  <c r="E19" i="2"/>
  <c r="C22" i="2"/>
  <c r="D22" i="2"/>
  <c r="E22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40" i="2"/>
  <c r="F41" i="2"/>
  <c r="F42" i="2"/>
  <c r="F43" i="2"/>
  <c r="I440" i="1"/>
  <c r="J23" i="1"/>
  <c r="G22" i="2"/>
  <c r="C23" i="2"/>
  <c r="D23" i="2"/>
  <c r="E23" i="2"/>
  <c r="I441" i="1"/>
  <c r="J24" i="1"/>
  <c r="G23" i="2"/>
  <c r="C24" i="2"/>
  <c r="D24" i="2"/>
  <c r="E24" i="2"/>
  <c r="I442" i="1"/>
  <c r="J25" i="1"/>
  <c r="G24" i="2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J32" i="1"/>
  <c r="G31" i="2"/>
  <c r="C34" i="2"/>
  <c r="D34" i="2"/>
  <c r="E34" i="2"/>
  <c r="E35" i="2"/>
  <c r="E36" i="2"/>
  <c r="E37" i="2"/>
  <c r="E38" i="2"/>
  <c r="E40" i="2"/>
  <c r="E41" i="2"/>
  <c r="E42" i="2"/>
  <c r="C35" i="2"/>
  <c r="D35" i="2"/>
  <c r="C36" i="2"/>
  <c r="D36" i="2"/>
  <c r="I446" i="1"/>
  <c r="J37" i="1"/>
  <c r="G36" i="2"/>
  <c r="C37" i="2"/>
  <c r="D37" i="2"/>
  <c r="I447" i="1"/>
  <c r="J38" i="1"/>
  <c r="G37" i="2"/>
  <c r="C38" i="2"/>
  <c r="D38" i="2"/>
  <c r="I448" i="1"/>
  <c r="J40" i="1"/>
  <c r="G39" i="2"/>
  <c r="C40" i="2"/>
  <c r="D40" i="2"/>
  <c r="I449" i="1"/>
  <c r="J41" i="1"/>
  <c r="D41" i="2"/>
  <c r="D48" i="2"/>
  <c r="F48" i="2"/>
  <c r="F51" i="2"/>
  <c r="F53" i="2"/>
  <c r="F54" i="2"/>
  <c r="F55" i="2"/>
  <c r="F64" i="2"/>
  <c r="F65" i="2"/>
  <c r="F68" i="2"/>
  <c r="F69" i="2"/>
  <c r="F70" i="2"/>
  <c r="F61" i="2"/>
  <c r="F62" i="2"/>
  <c r="F73" i="2"/>
  <c r="F79" i="2"/>
  <c r="F80" i="2"/>
  <c r="F81" i="2"/>
  <c r="F83" i="2"/>
  <c r="F85" i="2"/>
  <c r="F86" i="2"/>
  <c r="F88" i="2"/>
  <c r="F89" i="2"/>
  <c r="F91" i="2"/>
  <c r="F92" i="2"/>
  <c r="F93" i="2"/>
  <c r="F94" i="2"/>
  <c r="F95" i="2"/>
  <c r="F96" i="2"/>
  <c r="C50" i="2"/>
  <c r="E50" i="2"/>
  <c r="C51" i="2"/>
  <c r="D51" i="2"/>
  <c r="E51" i="2"/>
  <c r="D52" i="2"/>
  <c r="D53" i="2"/>
  <c r="D54" i="2"/>
  <c r="C53" i="2"/>
  <c r="E53" i="2"/>
  <c r="C58" i="2"/>
  <c r="C59" i="2"/>
  <c r="C61" i="2"/>
  <c r="D61" i="2"/>
  <c r="D62" i="2"/>
  <c r="E61" i="2"/>
  <c r="E62" i="2"/>
  <c r="G61" i="2"/>
  <c r="C62" i="2"/>
  <c r="G62" i="2"/>
  <c r="C64" i="2"/>
  <c r="C65" i="2"/>
  <c r="C66" i="2"/>
  <c r="C67" i="2"/>
  <c r="C68" i="2"/>
  <c r="E68" i="2"/>
  <c r="C69" i="2"/>
  <c r="D69" i="2"/>
  <c r="E69" i="2"/>
  <c r="G69" i="2"/>
  <c r="G70" i="2"/>
  <c r="G73" i="2"/>
  <c r="D70" i="2"/>
  <c r="D71" i="2"/>
  <c r="D73" i="2"/>
  <c r="C71" i="2"/>
  <c r="E71" i="2"/>
  <c r="C72" i="2"/>
  <c r="E72" i="2"/>
  <c r="C77" i="2"/>
  <c r="E77" i="2"/>
  <c r="E79" i="2"/>
  <c r="E81" i="2"/>
  <c r="C79" i="2"/>
  <c r="C80" i="2"/>
  <c r="D80" i="2"/>
  <c r="C81" i="2"/>
  <c r="D81" i="2"/>
  <c r="C82" i="2"/>
  <c r="C85" i="2"/>
  <c r="C86" i="2"/>
  <c r="D88" i="2"/>
  <c r="E88" i="2"/>
  <c r="E89" i="2"/>
  <c r="E90" i="2"/>
  <c r="E91" i="2"/>
  <c r="E92" i="2"/>
  <c r="E93" i="2"/>
  <c r="E94" i="2"/>
  <c r="E95" i="2"/>
  <c r="G88" i="2"/>
  <c r="C89" i="2"/>
  <c r="D89" i="2"/>
  <c r="G89" i="2"/>
  <c r="C90" i="2"/>
  <c r="D90" i="2"/>
  <c r="G90" i="2"/>
  <c r="C91" i="2"/>
  <c r="D91" i="2"/>
  <c r="C92" i="2"/>
  <c r="D92" i="2"/>
  <c r="C93" i="2"/>
  <c r="D93" i="2"/>
  <c r="C94" i="2"/>
  <c r="D94" i="2"/>
  <c r="C102" i="2"/>
  <c r="C104" i="2"/>
  <c r="E105" i="2"/>
  <c r="E106" i="2"/>
  <c r="D107" i="2"/>
  <c r="F107" i="2"/>
  <c r="G107" i="2"/>
  <c r="C110" i="2"/>
  <c r="E110" i="2"/>
  <c r="C111" i="2"/>
  <c r="E111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D120" i="2"/>
  <c r="D126" i="2"/>
  <c r="D136" i="2"/>
  <c r="D137" i="2"/>
  <c r="E120" i="2"/>
  <c r="F120" i="2"/>
  <c r="G120" i="2"/>
  <c r="C122" i="2"/>
  <c r="E122" i="2"/>
  <c r="E126" i="2"/>
  <c r="E127" i="2"/>
  <c r="E129" i="2"/>
  <c r="E134" i="2"/>
  <c r="E135" i="2"/>
  <c r="E136" i="2"/>
  <c r="F122" i="2"/>
  <c r="F126" i="2"/>
  <c r="F136" i="2"/>
  <c r="F137" i="2"/>
  <c r="K411" i="1"/>
  <c r="K419" i="1"/>
  <c r="K425" i="1"/>
  <c r="K426" i="1"/>
  <c r="G126" i="2"/>
  <c r="G136" i="2"/>
  <c r="G137" i="2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607" i="1"/>
  <c r="G19" i="1"/>
  <c r="G608" i="1"/>
  <c r="H19" i="1"/>
  <c r="I19" i="1"/>
  <c r="G610" i="1"/>
  <c r="F33" i="1"/>
  <c r="G33" i="1"/>
  <c r="H33" i="1"/>
  <c r="H43" i="1"/>
  <c r="H44" i="1"/>
  <c r="H609" i="1"/>
  <c r="G609" i="1"/>
  <c r="J609" i="1"/>
  <c r="I33" i="1"/>
  <c r="J33" i="1"/>
  <c r="F43" i="1"/>
  <c r="F44" i="1"/>
  <c r="H607" i="1"/>
  <c r="J607" i="1"/>
  <c r="G43" i="1"/>
  <c r="G44" i="1"/>
  <c r="I43" i="1"/>
  <c r="I44" i="1"/>
  <c r="H610" i="1"/>
  <c r="J610" i="1"/>
  <c r="F169" i="1"/>
  <c r="I169" i="1"/>
  <c r="F175" i="1"/>
  <c r="G175" i="1"/>
  <c r="G180" i="1"/>
  <c r="G184" i="1"/>
  <c r="H175" i="1"/>
  <c r="I175" i="1"/>
  <c r="J175" i="1"/>
  <c r="J184" i="1"/>
  <c r="F180" i="1"/>
  <c r="H180" i="1"/>
  <c r="I180" i="1"/>
  <c r="F184" i="1"/>
  <c r="H184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I249" i="1"/>
  <c r="K249" i="1"/>
  <c r="L262" i="1"/>
  <c r="G263" i="1"/>
  <c r="I263" i="1"/>
  <c r="K263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G330" i="1"/>
  <c r="G344" i="1"/>
  <c r="I330" i="1"/>
  <c r="I344" i="1"/>
  <c r="K330" i="1"/>
  <c r="K344" i="1"/>
  <c r="F354" i="1"/>
  <c r="G354" i="1"/>
  <c r="H354" i="1"/>
  <c r="I354" i="1"/>
  <c r="G624" i="1"/>
  <c r="J354" i="1"/>
  <c r="K354" i="1"/>
  <c r="I360" i="1"/>
  <c r="F361" i="1"/>
  <c r="G361" i="1"/>
  <c r="H361" i="1"/>
  <c r="I361" i="1"/>
  <c r="L373" i="1"/>
  <c r="L374" i="1"/>
  <c r="G626" i="1"/>
  <c r="H626" i="1"/>
  <c r="J626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399" i="1"/>
  <c r="H400" i="1"/>
  <c r="H634" i="1"/>
  <c r="I393" i="1"/>
  <c r="F399" i="1"/>
  <c r="G399" i="1"/>
  <c r="I399" i="1"/>
  <c r="F400" i="1"/>
  <c r="H633" i="1"/>
  <c r="G400" i="1"/>
  <c r="I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G628" i="1"/>
  <c r="H628" i="1"/>
  <c r="J628" i="1"/>
  <c r="F438" i="1"/>
  <c r="G438" i="1"/>
  <c r="G630" i="1"/>
  <c r="H438" i="1"/>
  <c r="I438" i="1"/>
  <c r="G632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G464" i="1"/>
  <c r="H464" i="1"/>
  <c r="I464" i="1"/>
  <c r="I466" i="1"/>
  <c r="H615" i="1"/>
  <c r="G615" i="1"/>
  <c r="J615" i="1"/>
  <c r="J464" i="1"/>
  <c r="J466" i="1"/>
  <c r="H61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F519" i="1"/>
  <c r="G519" i="1"/>
  <c r="H519" i="1"/>
  <c r="H524" i="1"/>
  <c r="H534" i="1"/>
  <c r="I519" i="1"/>
  <c r="J519" i="1"/>
  <c r="J524" i="1"/>
  <c r="J529" i="1"/>
  <c r="J534" i="1"/>
  <c r="J535" i="1"/>
  <c r="K519" i="1"/>
  <c r="L519" i="1"/>
  <c r="F524" i="1"/>
  <c r="G524" i="1"/>
  <c r="I524" i="1"/>
  <c r="K524" i="1"/>
  <c r="F529" i="1"/>
  <c r="G529" i="1"/>
  <c r="H529" i="1"/>
  <c r="H535" i="1"/>
  <c r="I529" i="1"/>
  <c r="K529" i="1"/>
  <c r="L529" i="1"/>
  <c r="F534" i="1"/>
  <c r="G534" i="1"/>
  <c r="I534" i="1"/>
  <c r="K534" i="1"/>
  <c r="F535" i="1"/>
  <c r="L547" i="1"/>
  <c r="L548" i="1"/>
  <c r="L549" i="1"/>
  <c r="L550" i="1"/>
  <c r="F550" i="1"/>
  <c r="G550" i="1"/>
  <c r="H550" i="1"/>
  <c r="I550" i="1"/>
  <c r="I555" i="1"/>
  <c r="I560" i="1"/>
  <c r="I561" i="1"/>
  <c r="J550" i="1"/>
  <c r="K550" i="1"/>
  <c r="L552" i="1"/>
  <c r="L553" i="1"/>
  <c r="L554" i="1"/>
  <c r="L555" i="1"/>
  <c r="F555" i="1"/>
  <c r="G555" i="1"/>
  <c r="H555" i="1"/>
  <c r="J555" i="1"/>
  <c r="K555" i="1"/>
  <c r="L557" i="1"/>
  <c r="L558" i="1"/>
  <c r="L559" i="1"/>
  <c r="L560" i="1"/>
  <c r="F560" i="1"/>
  <c r="G560" i="1"/>
  <c r="H560" i="1"/>
  <c r="J560" i="1"/>
  <c r="K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I588" i="1"/>
  <c r="J588" i="1"/>
  <c r="H641" i="1"/>
  <c r="K592" i="1"/>
  <c r="K593" i="1"/>
  <c r="K594" i="1"/>
  <c r="H595" i="1"/>
  <c r="I595" i="1"/>
  <c r="J595" i="1"/>
  <c r="K595" i="1"/>
  <c r="G638" i="1"/>
  <c r="J249" i="1"/>
  <c r="J330" i="1"/>
  <c r="H638" i="1"/>
  <c r="J638" i="1"/>
  <c r="F604" i="1"/>
  <c r="G604" i="1"/>
  <c r="H604" i="1"/>
  <c r="I604" i="1"/>
  <c r="J604" i="1"/>
  <c r="K604" i="1"/>
  <c r="L604" i="1"/>
  <c r="H608" i="1"/>
  <c r="G613" i="1"/>
  <c r="G614" i="1"/>
  <c r="H617" i="1"/>
  <c r="H618" i="1"/>
  <c r="H619" i="1"/>
  <c r="H620" i="1"/>
  <c r="H621" i="1"/>
  <c r="H623" i="1"/>
  <c r="H624" i="1"/>
  <c r="H625" i="1"/>
  <c r="H627" i="1"/>
  <c r="G629" i="1"/>
  <c r="H629" i="1"/>
  <c r="J629" i="1"/>
  <c r="H630" i="1"/>
  <c r="J630" i="1"/>
  <c r="G631" i="1"/>
  <c r="H631" i="1"/>
  <c r="J631" i="1"/>
  <c r="H632" i="1"/>
  <c r="G633" i="1"/>
  <c r="J633" i="1"/>
  <c r="G634" i="1"/>
  <c r="G635" i="1"/>
  <c r="H635" i="1"/>
  <c r="J635" i="1"/>
  <c r="H637" i="1"/>
  <c r="G639" i="1"/>
  <c r="J639" i="1"/>
  <c r="G640" i="1"/>
  <c r="H640" i="1"/>
  <c r="J640" i="1"/>
  <c r="G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H330" i="1"/>
  <c r="H344" i="1"/>
  <c r="F330" i="1"/>
  <c r="F344" i="1"/>
  <c r="H249" i="1"/>
  <c r="H263" i="1"/>
  <c r="F249" i="1"/>
  <c r="F263" i="1"/>
  <c r="G154" i="2"/>
  <c r="D83" i="2"/>
  <c r="K588" i="1"/>
  <c r="G637" i="1"/>
  <c r="J637" i="1"/>
  <c r="J561" i="1"/>
  <c r="H561" i="1"/>
  <c r="F561" i="1"/>
  <c r="K535" i="1"/>
  <c r="I535" i="1"/>
  <c r="G535" i="1"/>
  <c r="K493" i="1"/>
  <c r="I184" i="1"/>
  <c r="G155" i="2"/>
  <c r="G95" i="2"/>
  <c r="D95" i="2"/>
  <c r="C95" i="2"/>
  <c r="E70" i="2"/>
  <c r="E73" i="2"/>
  <c r="C70" i="2"/>
  <c r="C73" i="2"/>
  <c r="E32" i="2"/>
  <c r="E43" i="2"/>
  <c r="C32" i="2"/>
  <c r="F19" i="2"/>
  <c r="D19" i="2"/>
  <c r="I542" i="1"/>
  <c r="K541" i="1"/>
  <c r="G542" i="1"/>
  <c r="K539" i="1"/>
  <c r="L385" i="1"/>
  <c r="A31" i="12"/>
  <c r="L301" i="1"/>
  <c r="C11" i="10"/>
  <c r="G652" i="1"/>
  <c r="F31" i="13"/>
  <c r="G31" i="13"/>
  <c r="L534" i="1"/>
  <c r="L524" i="1"/>
  <c r="L514" i="1"/>
  <c r="L535" i="1"/>
  <c r="J344" i="1"/>
  <c r="E104" i="2"/>
  <c r="E102" i="2"/>
  <c r="C54" i="2"/>
  <c r="E49" i="2"/>
  <c r="E54" i="2"/>
  <c r="E55" i="2"/>
  <c r="D42" i="2"/>
  <c r="G32" i="2"/>
  <c r="H104" i="1"/>
  <c r="F104" i="1"/>
  <c r="L399" i="1"/>
  <c r="C132" i="2"/>
  <c r="C29" i="10"/>
  <c r="I104" i="1"/>
  <c r="I185" i="1"/>
  <c r="G620" i="1"/>
  <c r="J620" i="1"/>
  <c r="C35" i="10"/>
  <c r="G104" i="1"/>
  <c r="L393" i="1"/>
  <c r="C131" i="2"/>
  <c r="A22" i="12"/>
  <c r="C32" i="10"/>
  <c r="D29" i="13"/>
  <c r="C29" i="13"/>
  <c r="G651" i="1"/>
  <c r="L221" i="1"/>
  <c r="G650" i="1"/>
  <c r="G654" i="1"/>
  <c r="C21" i="10"/>
  <c r="C15" i="10"/>
  <c r="G33" i="13"/>
  <c r="C12" i="10"/>
  <c r="C10" i="10"/>
  <c r="L203" i="1"/>
  <c r="F33" i="13"/>
  <c r="C130" i="2"/>
  <c r="J263" i="1"/>
  <c r="J641" i="1"/>
  <c r="L561" i="1"/>
  <c r="L282" i="1"/>
  <c r="F650" i="1"/>
  <c r="D55" i="2"/>
  <c r="D32" i="2"/>
  <c r="D43" i="2"/>
  <c r="C26" i="10"/>
  <c r="L320" i="1"/>
  <c r="E103" i="2"/>
  <c r="E107" i="2"/>
  <c r="E137" i="2"/>
  <c r="L354" i="1"/>
  <c r="G625" i="1"/>
  <c r="J625" i="1"/>
  <c r="H651" i="1"/>
  <c r="I651" i="1"/>
  <c r="D17" i="13"/>
  <c r="C17" i="13"/>
  <c r="C106" i="2"/>
  <c r="D12" i="13"/>
  <c r="C12" i="13"/>
  <c r="C18" i="10"/>
  <c r="D5" i="13"/>
  <c r="C101" i="2"/>
  <c r="C107" i="2"/>
  <c r="E13" i="13"/>
  <c r="C13" i="13"/>
  <c r="C83" i="2"/>
  <c r="J542" i="1"/>
  <c r="F542" i="1"/>
  <c r="L343" i="1"/>
  <c r="H25" i="13"/>
  <c r="C25" i="10"/>
  <c r="D15" i="13"/>
  <c r="C15" i="13"/>
  <c r="F652" i="1"/>
  <c r="I652" i="1"/>
  <c r="D7" i="13"/>
  <c r="C7" i="13"/>
  <c r="C16" i="10"/>
  <c r="E16" i="13"/>
  <c r="C16" i="13"/>
  <c r="L330" i="1"/>
  <c r="L344" i="1"/>
  <c r="G623" i="1"/>
  <c r="D31" i="13"/>
  <c r="C31" i="13"/>
  <c r="C25" i="13"/>
  <c r="H33" i="13"/>
  <c r="C5" i="13"/>
  <c r="D33" i="13"/>
  <c r="D36" i="13"/>
  <c r="C27" i="10"/>
  <c r="F654" i="1"/>
  <c r="F662" i="1"/>
  <c r="C4" i="10"/>
  <c r="J623" i="1"/>
  <c r="C19" i="2"/>
  <c r="K542" i="1"/>
  <c r="H542" i="1"/>
  <c r="C112" i="2"/>
  <c r="C120" i="2"/>
  <c r="C17" i="10"/>
  <c r="L239" i="1"/>
  <c r="E8" i="13"/>
  <c r="C28" i="10"/>
  <c r="D11" i="10"/>
  <c r="J624" i="1"/>
  <c r="G657" i="1"/>
  <c r="G662" i="1"/>
  <c r="F657" i="1"/>
  <c r="F466" i="1"/>
  <c r="H612" i="1"/>
  <c r="G466" i="1"/>
  <c r="H613" i="1"/>
  <c r="J613" i="1"/>
  <c r="H466" i="1"/>
  <c r="H614" i="1"/>
  <c r="J614" i="1"/>
  <c r="G40" i="2"/>
  <c r="G42" i="2"/>
  <c r="G43" i="2"/>
  <c r="J43" i="1"/>
  <c r="J632" i="1"/>
  <c r="G10" i="2"/>
  <c r="G19" i="2"/>
  <c r="J19" i="1"/>
  <c r="G611" i="1"/>
  <c r="J634" i="1"/>
  <c r="C133" i="2"/>
  <c r="C136" i="2"/>
  <c r="C137" i="2"/>
  <c r="L400" i="1"/>
  <c r="G96" i="2"/>
  <c r="J185" i="1"/>
  <c r="G621" i="1"/>
  <c r="J621" i="1"/>
  <c r="G636" i="1"/>
  <c r="H154" i="1"/>
  <c r="H161" i="1"/>
  <c r="H185" i="1"/>
  <c r="G619" i="1"/>
  <c r="J619" i="1"/>
  <c r="E80" i="2"/>
  <c r="E83" i="2"/>
  <c r="E96" i="2"/>
  <c r="D96" i="2"/>
  <c r="G185" i="1"/>
  <c r="G618" i="1"/>
  <c r="J618" i="1"/>
  <c r="C38" i="10"/>
  <c r="D13" i="10"/>
  <c r="D23" i="10"/>
  <c r="D21" i="10"/>
  <c r="D18" i="10"/>
  <c r="D15" i="10"/>
  <c r="D12" i="10"/>
  <c r="D19" i="10"/>
  <c r="C30" i="10"/>
  <c r="F185" i="1"/>
  <c r="G617" i="1"/>
  <c r="J617" i="1"/>
  <c r="C55" i="2"/>
  <c r="C96" i="2"/>
  <c r="C36" i="10"/>
  <c r="J608" i="1"/>
  <c r="C42" i="2"/>
  <c r="C43" i="2"/>
  <c r="G612" i="1"/>
  <c r="C8" i="13"/>
  <c r="E33" i="13"/>
  <c r="D35" i="13"/>
  <c r="D27" i="10"/>
  <c r="D25" i="10"/>
  <c r="D17" i="10"/>
  <c r="D24" i="10"/>
  <c r="D16" i="10"/>
  <c r="D26" i="10"/>
  <c r="D20" i="10"/>
  <c r="D10" i="10"/>
  <c r="D22" i="10"/>
  <c r="L249" i="1"/>
  <c r="L263" i="1"/>
  <c r="G622" i="1"/>
  <c r="J622" i="1"/>
  <c r="H650" i="1"/>
  <c r="G616" i="1"/>
  <c r="J616" i="1"/>
  <c r="J44" i="1"/>
  <c r="H611" i="1"/>
  <c r="J611" i="1"/>
  <c r="G627" i="1"/>
  <c r="J627" i="1"/>
  <c r="H636" i="1"/>
  <c r="J636" i="1"/>
  <c r="C39" i="10"/>
  <c r="C41" i="10"/>
  <c r="D28" i="10"/>
  <c r="J612" i="1"/>
  <c r="H646" i="1"/>
  <c r="I650" i="1"/>
  <c r="I654" i="1"/>
  <c r="H654" i="1"/>
  <c r="D37" i="10"/>
  <c r="D38" i="10"/>
  <c r="D39" i="10"/>
  <c r="D40" i="10"/>
  <c r="D35" i="10"/>
  <c r="D36" i="10"/>
  <c r="H657" i="1"/>
  <c r="H662" i="1"/>
  <c r="I657" i="1"/>
  <c r="I662" i="1"/>
  <c r="C7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FF39D9F-C847-42DD-8A07-118F6007D3E3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851960F-15BF-4E0D-B246-825017A959F7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6779FCB-CC69-49F8-8580-368AACFA76D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4C39DA8-1FA0-4029-B27F-0BEEBB4B506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92074BD-FD8D-455B-A222-89F2487704AF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0C03C20-247F-4A36-B621-29970351CF21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4784EE7-FDF3-4595-8BCB-CBAD3B55916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8C9D9FF2-FD26-47E3-91B0-12D750FA43C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33F2D0EE-1BF5-49A7-B8C3-C7A3F2B63A6A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4B76675-4254-46F5-8C3C-05CBC15BCAAB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B1E5151-8890-4EC3-B527-76E6441E361C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8C73E1B-093C-464B-A025-8C8C2A55C42C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<sst xmlns="http://schemas.openxmlformats.org/spreadsheetml/2006/main" count="3860" uniqueCount="897">
  <si>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</si>
  <si>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</si>
  <si>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</si>
  <si>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</si>
  <si>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</si>
  <si>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</si>
  <si>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</si>
  <si>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</si>
  <si>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</si>
  <si>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</si>
  <si>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</si>
  <si>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</si>
  <si>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</si>
  <si>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</si>
  <si>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</si>
  <si>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</si>
  <si>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</si>
  <si>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</si>
  <si>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</si>
  <si>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</si>
  <si>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</si>
  <si>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</si>
  <si>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</si>
  <si>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</si>
  <si>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</si>
  <si>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</si>
  <si>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</si>
  <si>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</si>
  <si>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</si>
  <si>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</si>
  <si>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</si>
  <si>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</si>
  <si>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</si>
  <si>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</si>
  <si>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</si>
  <si>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</si>
  <si>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</si>
  <si>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</si>
  <si>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</si>
  <si>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</si>
  <si>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</si>
  <si>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</si>
  <si>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</si>
  <si>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</si>
  <si>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</si>
  <si>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</si>
  <si>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</si>
  <si>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</si>
  <si>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</si>
  <si>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</si>
  <si>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</si>
  <si>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</si>
  <si>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</si>
  <si>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</si>
  <si>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</si>
  <si>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</si>
  <si>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</si>
  <si>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</si>
  <si>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</si>
  <si>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</si>
  <si>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</si>
  <si>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</si>
  <si>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</si>
  <si>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</si>
  <si>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</si>
  <si>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</si>
  <si>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</si>
  <si>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</si>
  <si>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</si>
  <si>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</si>
  <si>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</si>
  <si>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</si>
  <si>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</si>
  <si>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</si>
  <si>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</si>
  <si>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</si>
  <si>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</si>
  <si>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</si>
  <si>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</si>
  <si>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</si>
  <si>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</si>
  <si>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</si>
  <si>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</si>
  <si>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</si>
  <si>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</si>
  <si>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</si>
  <si>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</si>
  <si>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</si>
  <si>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</si>
  <si>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</si>
  <si>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</si>
  <si>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</si>
  <si>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</si>
  <si>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</si>
  <si>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</si>
  <si>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</si>
  <si>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</si>
  <si>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</si>
  <si>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</si>
  <si>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</si>
  <si>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</si>
  <si>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</si>
  <si>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</si>
  <si>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</si>
  <si>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</si>
  <si>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</si>
  <si>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</si>
  <si>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</si>
  <si>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</si>
  <si>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</si>
  <si>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</si>
  <si>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</si>
  <si>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</si>
  <si>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</si>
  <si>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</si>
  <si>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</si>
  <si>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</si>
  <si>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</si>
  <si>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</si>
  <si>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</si>
  <si>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</si>
  <si>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</si>
  <si>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</si>
  <si>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</si>
  <si>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</si>
  <si>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</si>
  <si>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</si>
  <si>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</si>
  <si>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</si>
  <si>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</si>
  <si>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</si>
  <si>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</si>
  <si>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</si>
  <si>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</si>
  <si>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</si>
  <si>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</si>
  <si>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</si>
  <si>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</si>
  <si>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</si>
  <si>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</si>
  <si>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</si>
  <si>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</si>
  <si>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</si>
  <si>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</si>
  <si>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</si>
  <si>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</si>
  <si>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</si>
  <si>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</si>
  <si>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</si>
  <si>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</si>
  <si>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</si>
  <si>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</si>
  <si>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</si>
  <si>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</si>
  <si>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</si>
  <si>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</si>
  <si>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</si>
  <si>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</si>
  <si>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</si>
  <si>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</si>
  <si>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</si>
  <si>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</si>
  <si>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</si>
  <si>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</si>
  <si>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</si>
  <si>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</si>
  <si>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</si>
  <si>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</si>
  <si>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</si>
  <si>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</si>
  <si>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</si>
  <si>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</si>
  <si>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</si>
  <si>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</si>
  <si>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</si>
  <si>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</si>
  <si>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</si>
  <si>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</si>
  <si>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</si>
  <si>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</si>
  <si>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</si>
  <si>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</si>
  <si>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</si>
  <si>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</si>
  <si>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</si>
  <si>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</si>
  <si>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</si>
  <si>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</si>
  <si>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</si>
  <si>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</si>
  <si>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</si>
  <si>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</si>
  <si>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</si>
  <si>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</si>
  <si>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</si>
  <si>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</si>
  <si>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</si>
  <si>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</si>
  <si>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</si>
  <si>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</si>
  <si>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</si>
  <si>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</si>
  <si>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</si>
  <si>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</si>
  <si>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</si>
  <si>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</si>
  <si>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</si>
  <si>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</si>
  <si>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</si>
  <si>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</si>
  <si>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</si>
  <si>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</si>
  <si>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</si>
  <si>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</si>
  <si>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</si>
  <si>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</si>
  <si>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</si>
  <si>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</si>
  <si>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</si>
  <si>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</si>
  <si>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</si>
  <si>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</si>
  <si>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</si>
  <si>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</si>
  <si>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</si>
  <si>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</si>
  <si>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</si>
  <si>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</si>
  <si>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</si>
  <si>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</si>
  <si>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</si>
  <si>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</si>
  <si>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</si>
  <si>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</si>
  <si>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</si>
  <si>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</si>
  <si>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</si>
  <si>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</si>
  <si>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</si>
  <si>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</si>
  <si>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</si>
  <si>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</si>
  <si>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</si>
  <si>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</si>
  <si>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</si>
  <si>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</si>
  <si>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</si>
  <si>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</si>
  <si>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</si>
  <si>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</si>
  <si>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</si>
  <si>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</si>
  <si>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</si>
  <si>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</si>
  <si>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</si>
  <si>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</si>
  <si>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</si>
  <si>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</si>
  <si>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</si>
  <si>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</si>
  <si>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</si>
  <si>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</si>
  <si>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</si>
  <si>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</si>
  <si>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</si>
  <si>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</si>
  <si>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</si>
  <si>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</si>
  <si>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</si>
  <si>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</si>
  <si>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</si>
  <si>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</si>
  <si>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</si>
  <si>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</si>
  <si>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</si>
  <si>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</si>
  <si>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</si>
  <si>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</si>
  <si>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</si>
  <si>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</si>
  <si>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</si>
  <si>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</si>
  <si>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</si>
  <si>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</si>
  <si>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</si>
  <si>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</si>
  <si>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</si>
  <si>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</si>
  <si>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</si>
  <si>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</si>
  <si>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</si>
  <si>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</si>
  <si>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</si>
  <si>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</si>
  <si>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</si>
  <si>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</si>
  <si>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</si>
  <si>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</si>
  <si>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</si>
  <si>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</si>
  <si>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</si>
  <si>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</si>
  <si>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</si>
  <si>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</si>
  <si>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</si>
  <si>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</si>
  <si>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</si>
  <si>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</si>
  <si>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</si>
  <si>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</si>
  <si>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</si>
  <si>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</si>
  <si>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</si>
  <si>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</si>
  <si>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</si>
  <si>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</si>
  <si>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</si>
  <si>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</si>
  <si>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</si>
  <si>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</si>
  <si>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</si>
  <si>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</si>
  <si>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</si>
  <si>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</si>
  <si>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</si>
  <si>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</si>
  <si>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</si>
  <si>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</si>
  <si>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</si>
  <si>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</si>
  <si>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</si>
  <si>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</si>
  <si>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</si>
  <si>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</si>
  <si>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</si>
  <si>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</si>
  <si>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</si>
  <si>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</si>
  <si>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</si>
  <si>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</si>
  <si>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</si>
  <si>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</si>
  <si>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</si>
  <si>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</si>
  <si>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</si>
  <si>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</si>
  <si>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</si>
  <si>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</si>
  <si>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</si>
  <si>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</si>
  <si>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</si>
  <si>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</si>
  <si>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</si>
  <si>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</si>
  <si>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</si>
  <si>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</si>
  <si>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</si>
  <si>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</si>
  <si>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</si>
  <si>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</si>
  <si>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</si>
  <si>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</si>
  <si>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</si>
  <si>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</si>
  <si>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</si>
  <si>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</si>
  <si>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</si>
  <si>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</si>
  <si>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</si>
  <si>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</si>
  <si>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</si>
  <si>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</si>
  <si>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</si>
  <si>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</si>
  <si>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</si>
  <si>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</si>
  <si>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</si>
  <si>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</si>
  <si>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</si>
  <si>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</si>
  <si>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</si>
  <si>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</si>
  <si>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</si>
  <si>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</si>
  <si>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</si>
  <si>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</si>
  <si>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</si>
  <si>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</si>
  <si>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</si>
  <si>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</si>
  <si>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</si>
  <si>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</si>
  <si>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</si>
  <si>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</si>
  <si>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</si>
  <si>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</si>
  <si>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</si>
  <si>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</si>
  <si>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</si>
  <si>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</si>
  <si>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</si>
  <si>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</si>
  <si>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</si>
  <si>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</si>
  <si>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</si>
  <si>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</si>
  <si>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</si>
  <si>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</si>
  <si>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</si>
  <si>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</si>
  <si>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</si>
  <si>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</si>
  <si>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</si>
  <si>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</si>
  <si>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</si>
  <si>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</si>
  <si>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</si>
  <si>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</si>
  <si>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</si>
  <si>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</si>
  <si>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</si>
  <si>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</si>
  <si>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</si>
  <si>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</si>
  <si>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</si>
  <si>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</si>
  <si>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</si>
  <si>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</si>
  <si>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</si>
  <si>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</si>
  <si>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</si>
  <si>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</si>
  <si>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</si>
  <si>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</si>
  <si>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</si>
  <si>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</si>
  <si>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</si>
  <si>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</si>
  <si>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</si>
  <si>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</si>
  <si>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</si>
  <si>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</si>
  <si>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</si>
  <si>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</si>
  <si>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</si>
  <si>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</si>
  <si>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</si>
  <si>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</si>
  <si>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</si>
  <si>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</si>
  <si>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</si>
  <si>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</si>
  <si>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</si>
  <si>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</si>
  <si>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</si>
  <si>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</si>
  <si>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</si>
  <si>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</si>
  <si>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</si>
  <si>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</si>
  <si>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</si>
  <si>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</si>
  <si>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</si>
  <si>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</si>
  <si>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</si>
  <si>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</si>
  <si>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</si>
  <si>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</si>
  <si>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</si>
  <si>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</si>
  <si>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</si>
  <si>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</si>
  <si>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</si>
  <si>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</si>
  <si>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</si>
  <si>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</si>
  <si>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</si>
  <si>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</si>
  <si>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</si>
  <si>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</si>
  <si>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</si>
  <si>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</si>
  <si>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</si>
  <si>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</si>
  <si>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</si>
  <si>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</si>
  <si>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</si>
  <si>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</si>
  <si>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</si>
  <si>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</si>
  <si>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</si>
  <si>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</si>
  <si>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</si>
  <si>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</si>
  <si>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</si>
  <si>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</si>
  <si>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</si>
  <si>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</si>
  <si>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</si>
  <si>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</si>
  <si>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</si>
  <si>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</si>
  <si>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</si>
  <si>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</si>
  <si>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</si>
  <si>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</si>
  <si>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</si>
  <si>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</si>
  <si>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</si>
  <si>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</si>
  <si>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</si>
  <si>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</si>
  <si>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</si>
  <si>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</si>
  <si>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</si>
  <si>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</si>
  <si>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</si>
  <si>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</si>
  <si>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</si>
  <si>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</si>
  <si>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</si>
  <si>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</si>
  <si>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</si>
  <si>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</si>
  <si>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</si>
  <si>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</si>
  <si>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</si>
  <si>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</si>
  <si>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</si>
  <si>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</si>
  <si>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</si>
  <si>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</si>
  <si>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</si>
  <si>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</si>
  <si>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</si>
  <si>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</si>
  <si>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</si>
  <si>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</si>
  <si>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</si>
  <si>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</si>
  <si>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</si>
  <si>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</si>
  <si>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</si>
  <si>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</si>
  <si>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</si>
  <si>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</si>
  <si>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</si>
  <si>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</si>
  <si>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</si>
  <si>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</si>
  <si>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</si>
  <si>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</si>
  <si>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</si>
  <si>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</si>
  <si>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</si>
  <si>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</si>
  <si>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</si>
  <si>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</si>
  <si>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</si>
  <si>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</si>
  <si>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</si>
  <si>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</si>
  <si>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</si>
  <si>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</si>
  <si>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</si>
  <si>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</si>
  <si>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</si>
  <si>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</si>
  <si>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</si>
  <si>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</si>
  <si>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</si>
  <si>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</si>
  <si>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</si>
  <si>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</si>
  <si>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</si>
  <si>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</si>
  <si>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</si>
  <si>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</si>
  <si>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</si>
  <si>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</si>
  <si>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</si>
  <si>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</si>
  <si>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</si>
  <si>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</si>
  <si>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</si>
  <si>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</si>
  <si>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</si>
  <si>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</si>
  <si>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</si>
  <si>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</si>
  <si>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</si>
  <si>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</si>
  <si>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</si>
  <si>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</si>
  <si>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</si>
  <si>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</si>
  <si>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</si>
  <si>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</si>
  <si>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</si>
  <si>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</si>
  <si>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</si>
  <si>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</si>
  <si>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</si>
  <si>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</si>
  <si>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</si>
  <si>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</si>
  <si>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</si>
  <si>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</si>
  <si>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</si>
  <si>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</si>
  <si>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</si>
  <si>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</si>
  <si>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</si>
  <si>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</si>
  <si>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</si>
  <si>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</si>
  <si>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</si>
  <si>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</si>
  <si>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</si>
  <si>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</si>
  <si>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</si>
  <si>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</si>
  <si>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</si>
  <si>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</si>
  <si>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</si>
  <si>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</si>
  <si>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</si>
  <si>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</si>
  <si>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</si>
  <si>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</si>
  <si>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</si>
  <si>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</si>
  <si>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</si>
  <si>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</si>
  <si>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</si>
  <si>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</si>
  <si>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</si>
  <si>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</si>
  <si>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</si>
  <si>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</si>
  <si>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</si>
  <si>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</si>
  <si>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</si>
  <si>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</si>
  <si>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</si>
  <si>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</si>
  <si>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</si>
  <si>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</si>
  <si>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</si>
  <si>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</si>
  <si>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</si>
  <si>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</si>
  <si>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</si>
  <si>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</si>
  <si>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</si>
  <si>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</si>
  <si>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</si>
  <si>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</si>
  <si>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</si>
  <si>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</si>
  <si>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</si>
  <si>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</si>
  <si>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</si>
  <si>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</si>
  <si>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</si>
  <si>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</si>
  <si>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</si>
  <si>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</si>
  <si>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</si>
  <si>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</si>
  <si>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</si>
  <si>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</si>
  <si>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</si>
  <si>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</si>
  <si>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</si>
  <si>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</si>
  <si>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</si>
  <si>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</si>
  <si>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</si>
  <si>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</si>
  <si>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</si>
  <si>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</si>
  <si>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</si>
  <si>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</si>
  <si>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</si>
  <si>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</si>
  <si>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</si>
  <si>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</si>
  <si>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</si>
  <si>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</si>
  <si>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</si>
  <si>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</si>
  <si>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</si>
  <si>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</si>
  <si>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</si>
  <si>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</si>
  <si>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</si>
  <si>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</si>
  <si>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</si>
  <si>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</si>
  <si>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</si>
  <si>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</si>
  <si>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</si>
  <si>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</si>
  <si>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</si>
  <si>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</si>
  <si>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</si>
  <si>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</si>
  <si>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</si>
  <si>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</si>
  <si>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</si>
  <si>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</si>
  <si>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</si>
  <si>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</si>
  <si>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</si>
  <si>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</si>
  <si>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</si>
  <si>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</si>
  <si>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</si>
  <si>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</si>
  <si>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</si>
  <si>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</si>
  <si>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</si>
  <si>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</si>
  <si>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</si>
  <si>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</si>
  <si>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</si>
  <si>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</si>
  <si>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</si>
  <si>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</si>
  <si>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</si>
  <si>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</si>
  <si>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</si>
  <si>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</si>
  <si>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</si>
  <si>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</si>
  <si>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</si>
  <si>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</si>
  <si>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</si>
  <si>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</si>
  <si>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</si>
  <si>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</si>
  <si>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</si>
  <si>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</si>
  <si>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</si>
  <si>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</si>
  <si>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</si>
  <si>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</si>
  <si>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</si>
  <si>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</si>
  <si>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</si>
  <si>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</si>
  <si>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</si>
  <si>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</si>
  <si>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</si>
  <si>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</si>
  <si>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</si>
  <si>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</si>
  <si>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</si>
  <si>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</si>
  <si>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</si>
  <si>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</si>
  <si>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</si>
  <si>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</si>
  <si>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</si>
  <si>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</si>
  <si>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</si>
  <si>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</si>
  <si>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</si>
  <si>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</si>
  <si>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</si>
  <si>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</si>
  <si>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</si>
  <si>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</si>
  <si>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</si>
  <si>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</si>
  <si>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</si>
  <si>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</si>
  <si>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</si>
  <si>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</si>
  <si>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</si>
  <si>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</si>
  <si>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</si>
  <si>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</si>
  <si>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</si>
  <si>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</si>
  <si>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</si>
  <si>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</si>
  <si>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</si>
  <si>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</si>
  <si>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</si>
  <si>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</si>
  <si>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</si>
  <si>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</si>
  <si>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</si>
  <si>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</si>
  <si>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</si>
  <si>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</si>
  <si>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</si>
  <si>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</si>
  <si>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</si>
  <si>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</si>
  <si>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</si>
  <si>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</si>
  <si>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</si>
  <si>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</si>
  <si>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</si>
  <si>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</si>
  <si>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</si>
  <si>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</si>
  <si>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</si>
  <si>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</si>
  <si>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</si>
  <si>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</si>
  <si>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</si>
  <si>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</si>
  <si>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</si>
  <si>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</si>
  <si>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</si>
  <si>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</si>
  <si>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</si>
  <si>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</si>
  <si>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</si>
  <si>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</si>
  <si>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</si>
  <si>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</si>
  <si>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</si>
  <si>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</si>
  <si>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</si>
  <si>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</si>
  <si>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</si>
  <si>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</si>
  <si>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</si>
  <si>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</si>
  <si>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</si>
  <si>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</si>
  <si>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</si>
  <si>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</si>
  <si>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</si>
  <si>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</si>
  <si>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</si>
  <si>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</si>
  <si>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</si>
  <si>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</si>
  <si>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</si>
  <si>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</si>
  <si>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</si>
  <si>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</si>
  <si>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</si>
  <si>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</si>
  <si>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</si>
  <si>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</si>
  <si>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</si>
  <si>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</si>
  <si>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</si>
  <si>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</si>
  <si>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</si>
  <si>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</si>
  <si>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</si>
  <si>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</si>
  <si>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</si>
  <si>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</si>
  <si>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</si>
  <si>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</si>
  <si>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</si>
  <si>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</si>
  <si>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</si>
  <si>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</si>
  <si>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</si>
  <si>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</si>
  <si>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</si>
  <si>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</si>
  <si>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</si>
  <si>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</si>
  <si>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</si>
  <si>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</si>
  <si>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</si>
  <si>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</si>
  <si>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</si>
  <si>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</si>
  <si>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</si>
  <si>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</si>
  <si>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</si>
  <si>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</si>
  <si>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</si>
  <si>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</si>
  <si>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</si>
  <si>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</si>
  <si>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</si>
  <si>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</si>
  <si>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</si>
  <si>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</si>
  <si>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</si>
  <si>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</si>
  <si>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08/06</t>
  </si>
  <si>
    <t>08/11</t>
  </si>
  <si>
    <t>Warren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</si>
</sst>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DA60-FB29-4D40-92F6-CC9BBAB1E8EA}">
  <sheetPr transitionEvaluation="1" transitionEntry="1" codeName="Sheet1">
    <tabColor indexed="56"/>
  </sheetPr>
  <dimension ref="A1:AQ666"/>
  <sheetViews>
    <sheetView tabSelected="1" topLeftCell="A639" zoomScaleNormal="100" workbookViewId="0">
      <selection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549</v>
      </c>
      <c r="C2" s="21">
        <v>549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137642.16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46993.88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25567.919999999998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14025.84</v>
      </c>
      <c r="G13" s="18">
        <v>5397.96</v>
      </c>
      <c r="H13" s="18">
        <v>20184.62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1699.2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178935.12000000002</v>
      </c>
      <c r="G19" s="41">
        <f>SUM(G9:G18)</f>
        <v>5397.96</v>
      </c>
      <c r="H19" s="41">
        <f>SUM(H9:H18)</f>
        <v>20184.62</v>
      </c>
      <c r="I19" s="41">
        <f>SUM(I9:I18)</f>
        <v>0</v>
      </c>
      <c r="J19" s="41">
        <f>SUM(J9:J18)</f>
        <v>46993.88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5383.3</v>
      </c>
      <c r="H23" s="18">
        <v>20184.62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2097.7199999999998</v>
      </c>
      <c r="G25" s="18">
        <v>14.66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1601.06</f>
        <v>1601.06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3698.7799999999997</v>
      </c>
      <c r="G33" s="41">
        <f>SUM(G23:G32)</f>
        <v>5397.96</v>
      </c>
      <c r="H33" s="41">
        <f>SUM(H23:H32)</f>
        <v>20184.62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88512.83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</v>
      </c>
      <c r="G41" s="18"/>
      <c r="H41" s="18"/>
      <c r="I41" s="18"/>
      <c r="J41" s="13">
        <f>SUM(I449)</f>
        <v>46993.88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72723.51-6000</f>
        <v>66723.509999999995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175236.34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46993.88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178935.12</v>
      </c>
      <c r="G44" s="41">
        <f>G43+G33</f>
        <v>5397.96</v>
      </c>
      <c r="H44" s="41">
        <f>H43+H33</f>
        <v>20184.62</v>
      </c>
      <c r="I44" s="41">
        <f>I43+I33</f>
        <v>0</v>
      </c>
      <c r="J44" s="41">
        <f>J43+J33</f>
        <v>46993.88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969172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969172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399.03</v>
      </c>
      <c r="G88" s="18"/>
      <c r="H88" s="18"/>
      <c r="I88" s="18"/>
      <c r="J88" s="18">
        <v>55.5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6799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1103.2+19609.93</f>
        <v>20713.13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824.55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2083.23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1699.2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5006.01</v>
      </c>
      <c r="G103" s="41">
        <f>SUM(G88:G102)</f>
        <v>6799</v>
      </c>
      <c r="H103" s="41">
        <f>SUM(H88:H102)</f>
        <v>20713.13</v>
      </c>
      <c r="I103" s="41">
        <f>SUM(I88:I102)</f>
        <v>0</v>
      </c>
      <c r="J103" s="41">
        <f>SUM(J88:J102)</f>
        <v>55.5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974178.01</v>
      </c>
      <c r="G104" s="41">
        <f>G52+G103</f>
        <v>6799</v>
      </c>
      <c r="H104" s="41">
        <f>H52+H71+H86+H103</f>
        <v>20713.13</v>
      </c>
      <c r="I104" s="41">
        <f>I52+I103</f>
        <v>0</v>
      </c>
      <c r="J104" s="41">
        <f>J52+J103</f>
        <v>55.5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815299.32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180210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29570.68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1025080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6988.39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17905.87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1121.01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336.57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850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26015.269999999997</v>
      </c>
      <c r="G128" s="41">
        <f>SUM(G115:G127)</f>
        <v>336.57</v>
      </c>
      <c r="H128" s="41">
        <f>SUM(H115:H127)</f>
        <v>850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1051095.27</v>
      </c>
      <c r="G132" s="41">
        <f>G113+SUM(G128:G129)</f>
        <v>336.57</v>
      </c>
      <c r="H132" s="41">
        <f>H113+SUM(H128:H131)</f>
        <v>850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993.55+43922.55+4268.08+993.55+2046.51</f>
        <v>52224.240000000013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118084.28-H146-H127-H94-1209.04</f>
        <v>43087.869999999974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16192.05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15424.99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4448.51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15424.99</v>
      </c>
      <c r="G154" s="41">
        <f>SUM(G142:G153)</f>
        <v>20640.559999999998</v>
      </c>
      <c r="H154" s="41">
        <f>SUM(H142:H153)</f>
        <v>95312.109999999986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12291.81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27716.799999999999</v>
      </c>
      <c r="G161" s="41">
        <f>G139+G154+SUM(G155:G160)</f>
        <v>20640.559999999998</v>
      </c>
      <c r="H161" s="41">
        <f>H139+H154+SUM(H155:H160)</f>
        <v>95312.109999999986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16144.64</v>
      </c>
      <c r="H171" s="18">
        <v>1209.04</v>
      </c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16144.64</v>
      </c>
      <c r="H175" s="41">
        <f>SUM(H171:H174)</f>
        <v>1209.04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16144.64</v>
      </c>
      <c r="H184" s="41">
        <f>+H175+SUM(H180:H183)</f>
        <v>1209.04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2052990.08</v>
      </c>
      <c r="G185" s="47">
        <f>G104+G132+G161+G184</f>
        <v>43920.77</v>
      </c>
      <c r="H185" s="47">
        <f>H104+H132+H161+H184</f>
        <v>118084.27999999998</v>
      </c>
      <c r="I185" s="47">
        <f>I104+I132+I161+I184</f>
        <v>0</v>
      </c>
      <c r="J185" s="47">
        <f>J104+J132+J184</f>
        <v>20055.5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322863.65000000002</v>
      </c>
      <c r="G189" s="18">
        <v>134542.12</v>
      </c>
      <c r="H189" s="18">
        <f>27381.47+0</f>
        <v>27381.47</v>
      </c>
      <c r="I189" s="18">
        <v>42084.25</v>
      </c>
      <c r="J189" s="18">
        <v>11058.86</v>
      </c>
      <c r="K189" s="18">
        <v>684</v>
      </c>
      <c r="L189" s="19">
        <f>SUM(F189:K189)</f>
        <v>538614.35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63288.59</v>
      </c>
      <c r="G190" s="18">
        <v>25966.49</v>
      </c>
      <c r="H190" s="18">
        <f>3309.75+1138.26</f>
        <v>4448.01</v>
      </c>
      <c r="I190" s="18">
        <v>906.63</v>
      </c>
      <c r="J190" s="18">
        <v>1485.39</v>
      </c>
      <c r="K190" s="18">
        <v>125</v>
      </c>
      <c r="L190" s="19">
        <f>SUM(F190:K190)</f>
        <v>96220.11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2387.63</v>
      </c>
      <c r="G192" s="18">
        <v>293.97000000000003</v>
      </c>
      <c r="H192" s="18">
        <v>0</v>
      </c>
      <c r="I192" s="18">
        <v>1481.44</v>
      </c>
      <c r="J192" s="18">
        <v>0</v>
      </c>
      <c r="K192" s="18">
        <v>0</v>
      </c>
      <c r="L192" s="19">
        <f>SUM(F192:K192)</f>
        <v>4163.0400000000009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37365.379999999997</v>
      </c>
      <c r="G194" s="18">
        <v>20865.96</v>
      </c>
      <c r="H194" s="18">
        <f>34710.17+429</f>
        <v>35139.17</v>
      </c>
      <c r="I194" s="18">
        <v>1873.53</v>
      </c>
      <c r="J194" s="18">
        <v>0</v>
      </c>
      <c r="K194" s="18">
        <v>4343.04</v>
      </c>
      <c r="L194" s="19">
        <f t="shared" ref="L194:L200" si="0">SUM(F194:K194)</f>
        <v>99587.079999999987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5050</v>
      </c>
      <c r="G195" s="18">
        <v>11662.76</v>
      </c>
      <c r="H195" s="18">
        <f>17544.19+1230.47</f>
        <v>18774.66</v>
      </c>
      <c r="I195" s="18">
        <v>412.13</v>
      </c>
      <c r="J195" s="18">
        <v>0</v>
      </c>
      <c r="K195" s="18">
        <v>0</v>
      </c>
      <c r="L195" s="19">
        <f t="shared" si="0"/>
        <v>35899.549999999996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987.1</v>
      </c>
      <c r="G196" s="18">
        <v>104.16</v>
      </c>
      <c r="H196" s="18">
        <f>43000.21+2775.6</f>
        <v>45775.81</v>
      </c>
      <c r="I196" s="18">
        <v>0</v>
      </c>
      <c r="J196" s="18">
        <v>0</v>
      </c>
      <c r="K196" s="18">
        <v>1266.5999999999999</v>
      </c>
      <c r="L196" s="19">
        <f t="shared" si="0"/>
        <v>48133.67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72632.88</v>
      </c>
      <c r="G197" s="18">
        <v>22118.48</v>
      </c>
      <c r="H197" s="18">
        <v>4753.62</v>
      </c>
      <c r="I197" s="18">
        <v>1566.55</v>
      </c>
      <c r="J197" s="18">
        <v>448</v>
      </c>
      <c r="K197" s="18">
        <v>174.4</v>
      </c>
      <c r="L197" s="19">
        <f t="shared" si="0"/>
        <v>101693.93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26326.37</v>
      </c>
      <c r="G199" s="18">
        <v>10665.31</v>
      </c>
      <c r="H199" s="18">
        <f>24720.87+930.36</f>
        <v>25651.23</v>
      </c>
      <c r="I199" s="18">
        <v>46243.43</v>
      </c>
      <c r="J199" s="18">
        <v>31394.98</v>
      </c>
      <c r="K199" s="18">
        <v>0</v>
      </c>
      <c r="L199" s="19">
        <f t="shared" si="0"/>
        <v>140281.32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70932</v>
      </c>
      <c r="I200" s="18">
        <v>0</v>
      </c>
      <c r="J200" s="18">
        <v>0</v>
      </c>
      <c r="K200" s="18">
        <v>0</v>
      </c>
      <c r="L200" s="19">
        <f t="shared" si="0"/>
        <v>70932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f>317+583.34+235.73</f>
        <v>1136.07</v>
      </c>
      <c r="I201" s="18">
        <v>0</v>
      </c>
      <c r="J201" s="18">
        <v>0</v>
      </c>
      <c r="K201" s="18">
        <v>0</v>
      </c>
      <c r="L201" s="19">
        <f>SUM(F201:K201)</f>
        <v>1136.07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530901.6</v>
      </c>
      <c r="G203" s="41">
        <f t="shared" si="1"/>
        <v>226219.25</v>
      </c>
      <c r="H203" s="41">
        <f t="shared" si="1"/>
        <v>233992.04</v>
      </c>
      <c r="I203" s="41">
        <f t="shared" si="1"/>
        <v>94567.959999999992</v>
      </c>
      <c r="J203" s="41">
        <f t="shared" si="1"/>
        <v>44387.229999999996</v>
      </c>
      <c r="K203" s="41">
        <f t="shared" si="1"/>
        <v>6593.0399999999991</v>
      </c>
      <c r="L203" s="41">
        <f t="shared" si="1"/>
        <v>1136661.1200000001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220906.28</v>
      </c>
      <c r="I207" s="18">
        <v>0</v>
      </c>
      <c r="J207" s="18">
        <v>0</v>
      </c>
      <c r="K207" s="18">
        <v>0</v>
      </c>
      <c r="L207" s="19">
        <f>SUM(F207:K207)</f>
        <v>220906.28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f>1600+32055.48</f>
        <v>33655.479999999996</v>
      </c>
      <c r="I208" s="18">
        <v>0</v>
      </c>
      <c r="J208" s="18">
        <v>0</v>
      </c>
      <c r="K208" s="18">
        <v>0</v>
      </c>
      <c r="L208" s="19">
        <f>SUM(F208:K208)</f>
        <v>33655.479999999996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301.10000000000002</v>
      </c>
      <c r="G214" s="18">
        <v>31.84</v>
      </c>
      <c r="H214" s="18">
        <f>11075.61+719.6</f>
        <v>11795.210000000001</v>
      </c>
      <c r="I214" s="18">
        <v>0</v>
      </c>
      <c r="J214" s="18">
        <v>0</v>
      </c>
      <c r="K214" s="18">
        <v>330.53</v>
      </c>
      <c r="L214" s="19">
        <f t="shared" si="2"/>
        <v>12458.680000000002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7660.38</v>
      </c>
      <c r="I218" s="18">
        <v>0</v>
      </c>
      <c r="J218" s="18">
        <v>0</v>
      </c>
      <c r="K218" s="18">
        <v>0</v>
      </c>
      <c r="L218" s="19">
        <f t="shared" si="2"/>
        <v>7660.38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301.10000000000002</v>
      </c>
      <c r="G221" s="41">
        <f>SUM(G207:G220)</f>
        <v>31.84</v>
      </c>
      <c r="H221" s="41">
        <f>SUM(H207:H220)</f>
        <v>274017.35000000003</v>
      </c>
      <c r="I221" s="41">
        <f>SUM(I207:I220)</f>
        <v>0</v>
      </c>
      <c r="J221" s="41">
        <f>SUM(J207:J220)</f>
        <v>0</v>
      </c>
      <c r="K221" s="41">
        <f t="shared" si="3"/>
        <v>330.53</v>
      </c>
      <c r="L221" s="41">
        <f t="shared" si="3"/>
        <v>274680.82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348309.37</v>
      </c>
      <c r="I225" s="18">
        <v>0</v>
      </c>
      <c r="J225" s="18">
        <v>0</v>
      </c>
      <c r="K225" s="18">
        <v>0</v>
      </c>
      <c r="L225" s="19">
        <f>SUM(F225:K225)</f>
        <v>348309.37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43739.839999999997</v>
      </c>
      <c r="I226" s="18">
        <v>0</v>
      </c>
      <c r="J226" s="18">
        <v>0</v>
      </c>
      <c r="K226" s="18">
        <v>0</v>
      </c>
      <c r="L226" s="19">
        <f>SUM(F226:K226)</f>
        <v>43739.839999999997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41078.839999999997</v>
      </c>
      <c r="I227" s="18">
        <v>0</v>
      </c>
      <c r="J227" s="18">
        <v>0</v>
      </c>
      <c r="K227" s="18">
        <v>0</v>
      </c>
      <c r="L227" s="19">
        <f>SUM(F227:K227)</f>
        <v>41078.839999999997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1389.21</v>
      </c>
      <c r="I228" s="18">
        <v>0</v>
      </c>
      <c r="J228" s="18">
        <v>0</v>
      </c>
      <c r="K228" s="18">
        <v>0</v>
      </c>
      <c r="L228" s="19">
        <f>SUM(F228:K228)</f>
        <v>1389.21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576.79999999999995</v>
      </c>
      <c r="G232" s="18">
        <v>61.02</v>
      </c>
      <c r="H232" s="18">
        <f>25315.68+1644.84-0.2</f>
        <v>26960.32</v>
      </c>
      <c r="I232" s="18">
        <v>0</v>
      </c>
      <c r="J232" s="18">
        <v>0</v>
      </c>
      <c r="K232" s="18">
        <v>750.19</v>
      </c>
      <c r="L232" s="19">
        <f t="shared" si="4"/>
        <v>28348.329999999998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21245.59</v>
      </c>
      <c r="I236" s="18">
        <v>0</v>
      </c>
      <c r="J236" s="18">
        <v>0</v>
      </c>
      <c r="K236" s="18">
        <v>0</v>
      </c>
      <c r="L236" s="19">
        <f t="shared" si="4"/>
        <v>21245.59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576.79999999999995</v>
      </c>
      <c r="G239" s="41">
        <f t="shared" si="5"/>
        <v>61.02</v>
      </c>
      <c r="H239" s="41">
        <f t="shared" si="5"/>
        <v>482723.17</v>
      </c>
      <c r="I239" s="41">
        <f t="shared" si="5"/>
        <v>0</v>
      </c>
      <c r="J239" s="41">
        <f t="shared" si="5"/>
        <v>0</v>
      </c>
      <c r="K239" s="41">
        <f t="shared" si="5"/>
        <v>750.19</v>
      </c>
      <c r="L239" s="41">
        <f t="shared" si="5"/>
        <v>484111.18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531779.5</v>
      </c>
      <c r="G249" s="41">
        <f t="shared" si="8"/>
        <v>226312.11</v>
      </c>
      <c r="H249" s="41">
        <f t="shared" si="8"/>
        <v>990732.56</v>
      </c>
      <c r="I249" s="41">
        <f t="shared" si="8"/>
        <v>94567.959999999992</v>
      </c>
      <c r="J249" s="41">
        <f t="shared" si="8"/>
        <v>44387.229999999996</v>
      </c>
      <c r="K249" s="41">
        <f t="shared" si="8"/>
        <v>7673.7599999999984</v>
      </c>
      <c r="L249" s="41">
        <f t="shared" si="8"/>
        <v>1895453.12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20000</v>
      </c>
      <c r="L252" s="19">
        <f>SUM(F252:K252)</f>
        <v>20000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710</v>
      </c>
      <c r="L253" s="19">
        <f>SUM(F253:K253)</f>
        <v>710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16144.64</v>
      </c>
      <c r="L255" s="19">
        <f>SUM(F255:K255)</f>
        <v>16144.64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1209.04</v>
      </c>
      <c r="L256" s="19">
        <f t="shared" ref="L256:L262" si="9">SUM(F256:K256)</f>
        <v>1209.04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58063.68</v>
      </c>
      <c r="L262" s="41">
        <f t="shared" si="9"/>
        <v>58063.68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531779.5</v>
      </c>
      <c r="G263" s="42">
        <f t="shared" si="11"/>
        <v>226312.11</v>
      </c>
      <c r="H263" s="42">
        <f t="shared" si="11"/>
        <v>990732.56</v>
      </c>
      <c r="I263" s="42">
        <f t="shared" si="11"/>
        <v>94567.959999999992</v>
      </c>
      <c r="J263" s="42">
        <f t="shared" si="11"/>
        <v>44387.229999999996</v>
      </c>
      <c r="K263" s="42">
        <f t="shared" si="11"/>
        <v>65737.440000000002</v>
      </c>
      <c r="L263" s="42">
        <f t="shared" si="11"/>
        <v>1953516.8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0</v>
      </c>
      <c r="G268" s="18">
        <v>0</v>
      </c>
      <c r="H268" s="18">
        <v>0</v>
      </c>
      <c r="I268" s="18">
        <v>0</v>
      </c>
      <c r="J268" s="18">
        <v>26144.880000000001</v>
      </c>
      <c r="K268" s="18">
        <v>0</v>
      </c>
      <c r="L268" s="19">
        <f>SUM(F268:K268)</f>
        <v>26144.880000000001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36606.9</v>
      </c>
      <c r="G269" s="18">
        <v>11794.52</v>
      </c>
      <c r="H269" s="18">
        <v>195</v>
      </c>
      <c r="I269" s="18">
        <v>844.19</v>
      </c>
      <c r="J269" s="18">
        <v>1159.8800000000001</v>
      </c>
      <c r="K269" s="18">
        <v>0</v>
      </c>
      <c r="L269" s="19">
        <f>SUM(F269:K269)</f>
        <v>50600.49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19263.72</v>
      </c>
      <c r="G271" s="18">
        <v>2807.82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22071.54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850</v>
      </c>
      <c r="I273" s="18">
        <v>0</v>
      </c>
      <c r="J273" s="18">
        <v>0</v>
      </c>
      <c r="K273" s="18">
        <v>1103.2</v>
      </c>
      <c r="L273" s="19">
        <f t="shared" ref="L273:L279" si="12">SUM(F273:K273)</f>
        <v>1953.2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3558.92</v>
      </c>
      <c r="G274" s="18">
        <v>557.66999999999996</v>
      </c>
      <c r="H274" s="18">
        <v>5562.38</v>
      </c>
      <c r="I274" s="18">
        <v>0</v>
      </c>
      <c r="J274" s="18">
        <v>0</v>
      </c>
      <c r="K274" s="18">
        <v>0</v>
      </c>
      <c r="L274" s="19">
        <f t="shared" si="12"/>
        <v>9678.9700000000012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1035.2</v>
      </c>
      <c r="L275" s="19">
        <f t="shared" si="12"/>
        <v>1035.2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59429.54</v>
      </c>
      <c r="G282" s="42">
        <f t="shared" si="13"/>
        <v>15160.01</v>
      </c>
      <c r="H282" s="42">
        <f t="shared" si="13"/>
        <v>6607.38</v>
      </c>
      <c r="I282" s="42">
        <f t="shared" si="13"/>
        <v>844.19</v>
      </c>
      <c r="J282" s="42">
        <f t="shared" si="13"/>
        <v>27304.760000000002</v>
      </c>
      <c r="K282" s="42">
        <f t="shared" si="13"/>
        <v>2138.4</v>
      </c>
      <c r="L282" s="41">
        <f t="shared" si="13"/>
        <v>111484.28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6600</v>
      </c>
      <c r="I298" s="18">
        <v>0</v>
      </c>
      <c r="J298" s="18">
        <v>0</v>
      </c>
      <c r="K298" s="18">
        <v>0</v>
      </c>
      <c r="L298" s="19">
        <f t="shared" si="14"/>
        <v>6600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6600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6600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59429.54</v>
      </c>
      <c r="G330" s="41">
        <f t="shared" si="20"/>
        <v>15160.01</v>
      </c>
      <c r="H330" s="41">
        <f t="shared" si="20"/>
        <v>13207.380000000001</v>
      </c>
      <c r="I330" s="41">
        <f t="shared" si="20"/>
        <v>844.19</v>
      </c>
      <c r="J330" s="41">
        <f t="shared" si="20"/>
        <v>27304.760000000002</v>
      </c>
      <c r="K330" s="41">
        <f t="shared" si="20"/>
        <v>2138.4</v>
      </c>
      <c r="L330" s="41">
        <f t="shared" si="20"/>
        <v>118084.28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59429.54</v>
      </c>
      <c r="G344" s="41">
        <f>G330</f>
        <v>15160.01</v>
      </c>
      <c r="H344" s="41">
        <f>H330</f>
        <v>13207.380000000001</v>
      </c>
      <c r="I344" s="41">
        <f>I330</f>
        <v>844.19</v>
      </c>
      <c r="J344" s="41">
        <f>J330</f>
        <v>27304.760000000002</v>
      </c>
      <c r="K344" s="47">
        <f>K330+K343</f>
        <v>2138.4</v>
      </c>
      <c r="L344" s="41">
        <f>L330+L343</f>
        <v>118084.28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18611.01+3001.78</f>
        <v>21612.789999999997</v>
      </c>
      <c r="G350" s="18">
        <f>26.52+33.06+1653.44+35+86.03+118.94</f>
        <v>1952.99</v>
      </c>
      <c r="H350" s="18">
        <f>570.16+79.6</f>
        <v>649.76</v>
      </c>
      <c r="I350" s="18">
        <f>515.01+19101.22</f>
        <v>19616.23</v>
      </c>
      <c r="J350" s="18">
        <v>89</v>
      </c>
      <c r="K350" s="18"/>
      <c r="L350" s="13">
        <f>SUM(F350:K350)</f>
        <v>43920.77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21612.789999999997</v>
      </c>
      <c r="G354" s="47">
        <f t="shared" si="22"/>
        <v>1952.99</v>
      </c>
      <c r="H354" s="47">
        <f t="shared" si="22"/>
        <v>649.76</v>
      </c>
      <c r="I354" s="47">
        <f t="shared" si="22"/>
        <v>19616.23</v>
      </c>
      <c r="J354" s="47">
        <f t="shared" si="22"/>
        <v>89</v>
      </c>
      <c r="K354" s="47">
        <f t="shared" si="22"/>
        <v>0</v>
      </c>
      <c r="L354" s="47">
        <f t="shared" si="22"/>
        <v>43920.77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19101.22</v>
      </c>
      <c r="G359" s="18"/>
      <c r="H359" s="18"/>
      <c r="I359" s="56">
        <f>SUM(F359:H359)</f>
        <v>19101.22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515.01</v>
      </c>
      <c r="G360" s="63"/>
      <c r="H360" s="63"/>
      <c r="I360" s="56">
        <f>SUM(F360:H360)</f>
        <v>515.01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19616.23</v>
      </c>
      <c r="G361" s="47">
        <f>SUM(G359:G360)</f>
        <v>0</v>
      </c>
      <c r="H361" s="47">
        <f>SUM(H359:H360)</f>
        <v>0</v>
      </c>
      <c r="I361" s="47">
        <f>SUM(I359:I360)</f>
        <v>19616.23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4.67</v>
      </c>
      <c r="I380" s="18"/>
      <c r="J380" s="24" t="s">
        <v>312</v>
      </c>
      <c r="K380" s="24" t="s">
        <v>312</v>
      </c>
      <c r="L380" s="56">
        <f t="shared" si="25"/>
        <v>4.67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4.67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4.67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v>21.2</v>
      </c>
      <c r="I388" s="18"/>
      <c r="J388" s="24" t="s">
        <v>312</v>
      </c>
      <c r="K388" s="24" t="s">
        <v>312</v>
      </c>
      <c r="L388" s="56">
        <f t="shared" si="26"/>
        <v>10021.200000000001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28.58</v>
      </c>
      <c r="I389" s="18"/>
      <c r="J389" s="24" t="s">
        <v>312</v>
      </c>
      <c r="K389" s="24" t="s">
        <v>312</v>
      </c>
      <c r="L389" s="56">
        <f t="shared" si="26"/>
        <v>10028.58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1.05</v>
      </c>
      <c r="I391" s="18"/>
      <c r="J391" s="24" t="s">
        <v>312</v>
      </c>
      <c r="K391" s="24" t="s">
        <v>312</v>
      </c>
      <c r="L391" s="56">
        <f t="shared" si="26"/>
        <v>1.05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50.83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20050.829999999998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55.5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20055.499999999996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3065.63</v>
      </c>
      <c r="G432" s="18">
        <v>43928.25</v>
      </c>
      <c r="H432" s="18"/>
      <c r="I432" s="56">
        <f t="shared" si="33"/>
        <v>46993.88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3065.63</v>
      </c>
      <c r="G438" s="13">
        <f>SUM(G431:G437)</f>
        <v>43928.25</v>
      </c>
      <c r="H438" s="13">
        <f>SUM(H431:H437)</f>
        <v>0</v>
      </c>
      <c r="I438" s="13">
        <f>SUM(I431:I437)</f>
        <v>46993.88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3065.63</v>
      </c>
      <c r="G449" s="18">
        <v>43928.25</v>
      </c>
      <c r="H449" s="18"/>
      <c r="I449" s="56">
        <f>SUM(F449:H449)</f>
        <v>46993.88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3065.63</v>
      </c>
      <c r="G450" s="83">
        <f>SUM(G446:G449)</f>
        <v>43928.25</v>
      </c>
      <c r="H450" s="83">
        <f>SUM(H446:H449)</f>
        <v>0</v>
      </c>
      <c r="I450" s="83">
        <f>SUM(I446:I449)</f>
        <v>46993.88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3065.63</v>
      </c>
      <c r="G451" s="42">
        <f>G444+G450</f>
        <v>43928.25</v>
      </c>
      <c r="H451" s="42">
        <f>H444+H450</f>
        <v>0</v>
      </c>
      <c r="I451" s="42">
        <f>I444+I450</f>
        <v>46993.88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75763.06</v>
      </c>
      <c r="G455" s="18"/>
      <c r="H455" s="18"/>
      <c r="I455" s="18"/>
      <c r="J455" s="18">
        <v>26938.38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2052990.08</v>
      </c>
      <c r="G458" s="18">
        <v>43920.77</v>
      </c>
      <c r="H458" s="18">
        <v>118084.28</v>
      </c>
      <c r="I458" s="18"/>
      <c r="J458" s="18">
        <v>20055.5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2052990.08</v>
      </c>
      <c r="G460" s="53">
        <f>SUM(G458:G459)</f>
        <v>43920.77</v>
      </c>
      <c r="H460" s="53">
        <f>SUM(H458:H459)</f>
        <v>118084.28</v>
      </c>
      <c r="I460" s="53">
        <f>SUM(I458:I459)</f>
        <v>0</v>
      </c>
      <c r="J460" s="53">
        <f>SUM(J458:J459)</f>
        <v>20055.5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1944074.93+9441.87</f>
        <v>1953516.8</v>
      </c>
      <c r="G462" s="18">
        <v>43920.77</v>
      </c>
      <c r="H462" s="18">
        <v>118084.28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1953516.8</v>
      </c>
      <c r="G464" s="53">
        <f>SUM(G462:G463)</f>
        <v>43920.77</v>
      </c>
      <c r="H464" s="53">
        <f>SUM(H462:H463)</f>
        <v>118084.28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175236.34000000008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46993.880000000005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12746.24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2658.49+2778.15</f>
        <v>5436.6399999999994</v>
      </c>
      <c r="G485" s="18"/>
      <c r="H485" s="18"/>
      <c r="I485" s="18"/>
      <c r="J485" s="18"/>
      <c r="K485" s="53">
        <f>SUM(F485:J485)</f>
        <v>5436.6399999999994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2658.49</v>
      </c>
      <c r="G487" s="18"/>
      <c r="H487" s="18"/>
      <c r="I487" s="18"/>
      <c r="J487" s="18"/>
      <c r="K487" s="53">
        <f t="shared" si="34"/>
        <v>2658.49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2778.15</v>
      </c>
      <c r="G488" s="205"/>
      <c r="H488" s="205"/>
      <c r="I488" s="205"/>
      <c r="J488" s="205"/>
      <c r="K488" s="206">
        <f t="shared" si="34"/>
        <v>2778.15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124.99</v>
      </c>
      <c r="G489" s="18"/>
      <c r="H489" s="18"/>
      <c r="I489" s="18"/>
      <c r="J489" s="18"/>
      <c r="K489" s="53">
        <f t="shared" si="34"/>
        <v>124.99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2903.14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2903.14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2778.15</v>
      </c>
      <c r="G491" s="205"/>
      <c r="H491" s="205"/>
      <c r="I491" s="205"/>
      <c r="J491" s="205"/>
      <c r="K491" s="206">
        <f t="shared" si="34"/>
        <v>2778.15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124.99</v>
      </c>
      <c r="G492" s="18"/>
      <c r="H492" s="18"/>
      <c r="I492" s="18"/>
      <c r="J492" s="18"/>
      <c r="K492" s="53">
        <f t="shared" si="34"/>
        <v>124.99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2903.14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2903.14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68588.490000000005</v>
      </c>
      <c r="G511" s="18">
        <v>26872.92</v>
      </c>
      <c r="H511" s="18">
        <f>3309.75+1138.26</f>
        <v>4448.01</v>
      </c>
      <c r="I511" s="18">
        <v>906.63</v>
      </c>
      <c r="J511" s="18">
        <v>1485.39</v>
      </c>
      <c r="K511" s="18">
        <v>125</v>
      </c>
      <c r="L511" s="88">
        <f>SUM(F511:K511)</f>
        <v>102426.44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>
        <f>1600+32055.48</f>
        <v>33655.479999999996</v>
      </c>
      <c r="I512" s="18">
        <v>0</v>
      </c>
      <c r="J512" s="18">
        <v>0</v>
      </c>
      <c r="K512" s="18">
        <v>0</v>
      </c>
      <c r="L512" s="88">
        <f>SUM(F512:K512)</f>
        <v>33655.479999999996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v>43739.839999999997</v>
      </c>
      <c r="I513" s="18">
        <v>0</v>
      </c>
      <c r="J513" s="18">
        <v>0</v>
      </c>
      <c r="K513" s="18">
        <v>0</v>
      </c>
      <c r="L513" s="88">
        <f>SUM(F513:K513)</f>
        <v>43739.839999999997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68588.490000000005</v>
      </c>
      <c r="G514" s="108">
        <f t="shared" ref="G514:L514" si="35">SUM(G511:G513)</f>
        <v>26872.92</v>
      </c>
      <c r="H514" s="108">
        <f t="shared" si="35"/>
        <v>81843.329999999987</v>
      </c>
      <c r="I514" s="108">
        <f t="shared" si="35"/>
        <v>906.63</v>
      </c>
      <c r="J514" s="108">
        <f t="shared" si="35"/>
        <v>1485.39</v>
      </c>
      <c r="K514" s="108">
        <f t="shared" si="35"/>
        <v>125</v>
      </c>
      <c r="L514" s="89">
        <f t="shared" si="35"/>
        <v>179821.75999999998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25268.5</v>
      </c>
      <c r="I516" s="18">
        <v>313.55</v>
      </c>
      <c r="J516" s="18">
        <v>0</v>
      </c>
      <c r="K516" s="18">
        <v>0</v>
      </c>
      <c r="L516" s="88">
        <f>SUM(F516:K516)</f>
        <v>25582.05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25268.5</v>
      </c>
      <c r="I519" s="89">
        <f t="shared" si="36"/>
        <v>313.55</v>
      </c>
      <c r="J519" s="89">
        <f t="shared" si="36"/>
        <v>0</v>
      </c>
      <c r="K519" s="89">
        <f t="shared" si="36"/>
        <v>0</v>
      </c>
      <c r="L519" s="89">
        <f t="shared" si="36"/>
        <v>25582.05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0</v>
      </c>
      <c r="G521" s="18">
        <v>0</v>
      </c>
      <c r="H521" s="18">
        <v>8951</v>
      </c>
      <c r="I521" s="18">
        <v>0</v>
      </c>
      <c r="J521" s="18">
        <v>0</v>
      </c>
      <c r="K521" s="18">
        <v>0</v>
      </c>
      <c r="L521" s="88">
        <f>SUM(F521:K521)</f>
        <v>8951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0</v>
      </c>
      <c r="G522" s="18">
        <v>0</v>
      </c>
      <c r="H522" s="18">
        <v>3098</v>
      </c>
      <c r="I522" s="18">
        <v>0</v>
      </c>
      <c r="J522" s="18">
        <v>0</v>
      </c>
      <c r="K522" s="18">
        <v>0</v>
      </c>
      <c r="L522" s="88">
        <f>SUM(F522:K522)</f>
        <v>3098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0</v>
      </c>
      <c r="G523" s="18">
        <v>0</v>
      </c>
      <c r="H523" s="18">
        <v>5164</v>
      </c>
      <c r="I523" s="18">
        <v>0</v>
      </c>
      <c r="J523" s="18">
        <v>0</v>
      </c>
      <c r="K523" s="18">
        <v>0</v>
      </c>
      <c r="L523" s="88">
        <f>SUM(F523:K523)</f>
        <v>5164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17213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17213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0</v>
      </c>
      <c r="G531" s="18">
        <v>0</v>
      </c>
      <c r="H531" s="18">
        <v>5200</v>
      </c>
      <c r="I531" s="18">
        <v>0</v>
      </c>
      <c r="J531" s="18">
        <v>0</v>
      </c>
      <c r="K531" s="18">
        <v>0</v>
      </c>
      <c r="L531" s="88">
        <f>SUM(F531:K531)</f>
        <v>5200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0</v>
      </c>
      <c r="G533" s="18">
        <v>0</v>
      </c>
      <c r="H533" s="18">
        <v>412.19</v>
      </c>
      <c r="I533" s="18">
        <v>0</v>
      </c>
      <c r="J533" s="18">
        <v>0</v>
      </c>
      <c r="K533" s="18">
        <v>0</v>
      </c>
      <c r="L533" s="88">
        <f>SUM(F533:K533)</f>
        <v>412.19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5612.19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5612.19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68588.490000000005</v>
      </c>
      <c r="G535" s="89">
        <f t="shared" ref="G535:L535" si="40">G514+G519+G524+G529+G534</f>
        <v>26872.92</v>
      </c>
      <c r="H535" s="89">
        <f t="shared" si="40"/>
        <v>129937.01999999999</v>
      </c>
      <c r="I535" s="89">
        <f t="shared" si="40"/>
        <v>1220.18</v>
      </c>
      <c r="J535" s="89">
        <f t="shared" si="40"/>
        <v>1485.39</v>
      </c>
      <c r="K535" s="89">
        <f t="shared" si="40"/>
        <v>125</v>
      </c>
      <c r="L535" s="89">
        <f t="shared" si="40"/>
        <v>228228.99999999997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102426.44</v>
      </c>
      <c r="G539" s="87">
        <f>L516</f>
        <v>25582.05</v>
      </c>
      <c r="H539" s="87">
        <f>L521</f>
        <v>8951</v>
      </c>
      <c r="I539" s="87">
        <f>L526</f>
        <v>0</v>
      </c>
      <c r="J539" s="87">
        <f>L531</f>
        <v>5200</v>
      </c>
      <c r="K539" s="87">
        <f>SUM(F539:J539)</f>
        <v>142159.49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33655.479999999996</v>
      </c>
      <c r="G540" s="87">
        <f>L517</f>
        <v>0</v>
      </c>
      <c r="H540" s="87">
        <f>L522</f>
        <v>3098</v>
      </c>
      <c r="I540" s="87">
        <f>L527</f>
        <v>0</v>
      </c>
      <c r="J540" s="87">
        <f>L532</f>
        <v>0</v>
      </c>
      <c r="K540" s="87">
        <f>SUM(F540:J540)</f>
        <v>36753.479999999996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43739.839999999997</v>
      </c>
      <c r="G541" s="87">
        <f>L518</f>
        <v>0</v>
      </c>
      <c r="H541" s="87">
        <f>L523</f>
        <v>5164</v>
      </c>
      <c r="I541" s="87">
        <f>L528</f>
        <v>0</v>
      </c>
      <c r="J541" s="87">
        <f>L533</f>
        <v>412.19</v>
      </c>
      <c r="K541" s="87">
        <f>SUM(F541:J541)</f>
        <v>49316.03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179821.75999999998</v>
      </c>
      <c r="G542" s="89">
        <f t="shared" si="41"/>
        <v>25582.05</v>
      </c>
      <c r="H542" s="89">
        <f t="shared" si="41"/>
        <v>17213</v>
      </c>
      <c r="I542" s="89">
        <f t="shared" si="41"/>
        <v>0</v>
      </c>
      <c r="J542" s="89">
        <f t="shared" si="41"/>
        <v>5612.19</v>
      </c>
      <c r="K542" s="89">
        <f t="shared" si="41"/>
        <v>228228.99999999997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31307</v>
      </c>
      <c r="G547" s="18">
        <v>10888.09</v>
      </c>
      <c r="H547" s="18">
        <v>195</v>
      </c>
      <c r="I547" s="18">
        <v>844.19</v>
      </c>
      <c r="J547" s="18">
        <v>1159.8800000000001</v>
      </c>
      <c r="K547" s="18">
        <v>0</v>
      </c>
      <c r="L547" s="88">
        <f>SUM(F547:K547)</f>
        <v>44394.159999999996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31307</v>
      </c>
      <c r="G550" s="108">
        <f t="shared" si="42"/>
        <v>10888.09</v>
      </c>
      <c r="H550" s="108">
        <f t="shared" si="42"/>
        <v>195</v>
      </c>
      <c r="I550" s="108">
        <f t="shared" si="42"/>
        <v>844.19</v>
      </c>
      <c r="J550" s="108">
        <f t="shared" si="42"/>
        <v>1159.8800000000001</v>
      </c>
      <c r="K550" s="108">
        <f t="shared" si="42"/>
        <v>0</v>
      </c>
      <c r="L550" s="89">
        <f t="shared" si="42"/>
        <v>44394.159999999996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31307</v>
      </c>
      <c r="G561" s="89">
        <f t="shared" ref="G561:L561" si="45">G550+G555+G560</f>
        <v>10888.09</v>
      </c>
      <c r="H561" s="89">
        <f t="shared" si="45"/>
        <v>195</v>
      </c>
      <c r="I561" s="89">
        <f t="shared" si="45"/>
        <v>844.19</v>
      </c>
      <c r="J561" s="89">
        <f t="shared" si="45"/>
        <v>1159.8800000000001</v>
      </c>
      <c r="K561" s="89">
        <f t="shared" si="45"/>
        <v>0</v>
      </c>
      <c r="L561" s="89">
        <f t="shared" si="45"/>
        <v>44394.159999999996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220906.28</v>
      </c>
      <c r="H565" s="18">
        <v>336109.37</v>
      </c>
      <c r="I565" s="87">
        <f>SUM(F565:H565)</f>
        <v>557015.65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12200</v>
      </c>
      <c r="I566" s="87">
        <f t="shared" ref="I566:I577" si="46">SUM(F566:H566)</f>
        <v>12200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32055.48</v>
      </c>
      <c r="H569" s="18">
        <v>0</v>
      </c>
      <c r="I569" s="87">
        <f t="shared" si="46"/>
        <v>32055.48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0</v>
      </c>
      <c r="G572" s="18">
        <v>0</v>
      </c>
      <c r="H572" s="18">
        <v>43739.839999999997</v>
      </c>
      <c r="I572" s="87">
        <f t="shared" si="46"/>
        <v>43739.839999999997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41078.839999999997</v>
      </c>
      <c r="I575" s="87">
        <f t="shared" si="46"/>
        <v>41078.839999999997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62300</v>
      </c>
      <c r="I581" s="18">
        <v>7660.38</v>
      </c>
      <c r="J581" s="18">
        <v>17523.61</v>
      </c>
      <c r="K581" s="104">
        <f t="shared" ref="K581:K587" si="47">SUM(H581:J581)</f>
        <v>87483.99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5200</v>
      </c>
      <c r="I582" s="18">
        <v>0</v>
      </c>
      <c r="J582" s="18">
        <v>412.19</v>
      </c>
      <c r="K582" s="104">
        <f t="shared" si="47"/>
        <v>5612.19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3309.79</v>
      </c>
      <c r="K583" s="104">
        <f t="shared" si="47"/>
        <v>3309.79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3432</v>
      </c>
      <c r="I585" s="18">
        <v>0</v>
      </c>
      <c r="J585" s="18">
        <v>0</v>
      </c>
      <c r="K585" s="104">
        <f t="shared" si="47"/>
        <v>3432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70932</v>
      </c>
      <c r="I588" s="108">
        <f>SUM(I581:I587)</f>
        <v>7660.38</v>
      </c>
      <c r="J588" s="108">
        <f>SUM(J581:J587)</f>
        <v>21245.59</v>
      </c>
      <c r="K588" s="108">
        <f>SUM(K581:K587)</f>
        <v>99837.97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71691.990000000005</v>
      </c>
      <c r="I594" s="18">
        <v>0</v>
      </c>
      <c r="J594" s="18">
        <v>0</v>
      </c>
      <c r="K594" s="104">
        <f>SUM(H594:J594)</f>
        <v>71691.990000000005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71691.990000000005</v>
      </c>
      <c r="I595" s="108">
        <f>SUM(I592:I594)</f>
        <v>0</v>
      </c>
      <c r="J595" s="108">
        <f>SUM(J592:J594)</f>
        <v>0</v>
      </c>
      <c r="K595" s="108">
        <f>SUM(K592:K594)</f>
        <v>71691.990000000005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10475.69</v>
      </c>
      <c r="G601" s="18">
        <v>1483.12</v>
      </c>
      <c r="H601" s="18">
        <v>0</v>
      </c>
      <c r="I601" s="18">
        <v>320.7</v>
      </c>
      <c r="J601" s="18">
        <v>0</v>
      </c>
      <c r="K601" s="18">
        <v>0</v>
      </c>
      <c r="L601" s="88">
        <f>SUM(F601:K601)</f>
        <v>12279.510000000002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1389.21</v>
      </c>
      <c r="I603" s="18">
        <v>0</v>
      </c>
      <c r="J603" s="18">
        <v>0</v>
      </c>
      <c r="K603" s="18">
        <v>0</v>
      </c>
      <c r="L603" s="88">
        <f>SUM(F603:K603)</f>
        <v>1389.21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10475.69</v>
      </c>
      <c r="G604" s="108">
        <f t="shared" si="48"/>
        <v>1483.12</v>
      </c>
      <c r="H604" s="108">
        <f t="shared" si="48"/>
        <v>1389.21</v>
      </c>
      <c r="I604" s="108">
        <f t="shared" si="48"/>
        <v>320.7</v>
      </c>
      <c r="J604" s="108">
        <f t="shared" si="48"/>
        <v>0</v>
      </c>
      <c r="K604" s="108">
        <f t="shared" si="48"/>
        <v>0</v>
      </c>
      <c r="L604" s="89">
        <f t="shared" si="48"/>
        <v>13668.720000000001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178935.12000000002</v>
      </c>
      <c r="H607" s="109">
        <f>SUM(F44)</f>
        <v>178935.12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5397.96</v>
      </c>
      <c r="H608" s="109">
        <f>SUM(G44)</f>
        <v>5397.96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20184.62</v>
      </c>
      <c r="H609" s="109">
        <f>SUM(H44)</f>
        <v>20184.62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46993.88</v>
      </c>
      <c r="H611" s="109">
        <f>SUM(J44)</f>
        <v>46993.88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175236.34</v>
      </c>
      <c r="H612" s="109">
        <f>F466</f>
        <v>175236.34000000008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46993.88</v>
      </c>
      <c r="H616" s="109">
        <f>J466</f>
        <v>46993.880000000005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2052990.08</v>
      </c>
      <c r="H617" s="104">
        <f>SUM(F458)</f>
        <v>2052990.08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43920.77</v>
      </c>
      <c r="H618" s="104">
        <f>SUM(G458)</f>
        <v>43920.77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118084.27999999998</v>
      </c>
      <c r="H619" s="104">
        <f>SUM(H458)</f>
        <v>118084.28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20055.5</v>
      </c>
      <c r="H621" s="104">
        <f>SUM(J458)</f>
        <v>20055.5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1953516.8</v>
      </c>
      <c r="H622" s="104">
        <f>SUM(F462)</f>
        <v>1953516.8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118084.28</v>
      </c>
      <c r="H623" s="104">
        <f>SUM(H462)</f>
        <v>118084.28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19616.23</v>
      </c>
      <c r="H624" s="104">
        <f>I361</f>
        <v>19616.23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43920.77</v>
      </c>
      <c r="H625" s="104">
        <f>SUM(G462)</f>
        <v>43920.77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20055.499999999996</v>
      </c>
      <c r="H627" s="164">
        <f>SUM(J458)</f>
        <v>20055.5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3065.63</v>
      </c>
      <c r="H629" s="104">
        <f>SUM(F451)</f>
        <v>3065.63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43928.25</v>
      </c>
      <c r="H630" s="104">
        <f>SUM(G451)</f>
        <v>43928.25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46993.88</v>
      </c>
      <c r="H632" s="104">
        <f>SUM(I451)</f>
        <v>46993.88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55.5</v>
      </c>
      <c r="H634" s="104">
        <f>H400</f>
        <v>55.5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20055.5</v>
      </c>
      <c r="H636" s="104">
        <f>L400</f>
        <v>20055.499999999996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99837.97</v>
      </c>
      <c r="H637" s="104">
        <f>L200+L218+L236</f>
        <v>99837.97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71691.990000000005</v>
      </c>
      <c r="H638" s="104">
        <f>(J249+J330)-(J247+J328)</f>
        <v>71691.989999999991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70932</v>
      </c>
      <c r="H639" s="104">
        <f>H588</f>
        <v>70932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7660.38</v>
      </c>
      <c r="H640" s="104">
        <f>I588</f>
        <v>7660.38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21245.59</v>
      </c>
      <c r="H641" s="104">
        <f>J588</f>
        <v>21245.59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16144.64</v>
      </c>
      <c r="H642" s="104">
        <f>K255+K337</f>
        <v>16144.64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1209.04</v>
      </c>
      <c r="H643" s="104">
        <f>K256</f>
        <v>1209.04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1292066.1700000002</v>
      </c>
      <c r="G650" s="19">
        <f>(L221+L301+L351)</f>
        <v>281280.82</v>
      </c>
      <c r="H650" s="19">
        <f>(L239+L320+L352)</f>
        <v>484111.18</v>
      </c>
      <c r="I650" s="19">
        <f>SUM(F650:H650)</f>
        <v>2057458.1700000002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6799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6799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70932</v>
      </c>
      <c r="G652" s="19">
        <f>(L218+L298)-(J218+J298)</f>
        <v>14260.380000000001</v>
      </c>
      <c r="H652" s="19">
        <f>(L236+L317)-(J236+J317)</f>
        <v>21245.59</v>
      </c>
      <c r="I652" s="19">
        <f>SUM(F652:H652)</f>
        <v>106437.97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83971.5</v>
      </c>
      <c r="G653" s="200">
        <f>SUM(G565:G577)+SUM(I592:I594)+L602</f>
        <v>252961.76</v>
      </c>
      <c r="H653" s="200">
        <f>SUM(H565:H577)+SUM(J592:J594)+L603</f>
        <v>434517.25999999995</v>
      </c>
      <c r="I653" s="19">
        <f>SUM(F653:H653)</f>
        <v>771450.52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1130363.6700000002</v>
      </c>
      <c r="G654" s="19">
        <f>G650-SUM(G651:G653)</f>
        <v>14058.679999999993</v>
      </c>
      <c r="H654" s="19">
        <f>H650-SUM(H651:H653)</f>
        <v>28348.330000000016</v>
      </c>
      <c r="I654" s="19">
        <f>I650-SUM(I651:I653)</f>
        <v>1172770.6800000002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67.239999999999995</v>
      </c>
      <c r="G655" s="249"/>
      <c r="H655" s="249"/>
      <c r="I655" s="19">
        <f>SUM(F655:H655)</f>
        <v>67.239999999999995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16810.88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17441.560000000001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-14058.68</v>
      </c>
      <c r="H659" s="18">
        <v>-28348.33</v>
      </c>
      <c r="I659" s="19">
        <f>SUM(F659:H659)</f>
        <v>-42407.01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16810.88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16810.88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27BF-8EAD-4B7F-9BEB-51334F6D9319}">
  <sheetPr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Warren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322863.65000000002</v>
      </c>
      <c r="C9" s="230">
        <f>'DOE25'!G189+'DOE25'!G207+'DOE25'!G225+'DOE25'!G268+'DOE25'!G287+'DOE25'!G306</f>
        <v>134542.12</v>
      </c>
    </row>
    <row r="10" spans="1:3" x14ac:dyDescent="0.2">
      <c r="A10" t="s">
        <v>810</v>
      </c>
      <c r="B10" s="241">
        <v>317089.40000000002</v>
      </c>
      <c r="C10" s="241">
        <v>134033.81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5774.25</v>
      </c>
      <c r="C12" s="241">
        <v>508.31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322863.65000000002</v>
      </c>
      <c r="C13" s="232">
        <f>SUM(C10:C12)</f>
        <v>134542.12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99895.489999999991</v>
      </c>
      <c r="C18" s="230">
        <f>'DOE25'!G190+'DOE25'!G208+'DOE25'!G226+'DOE25'!G269+'DOE25'!G288+'DOE25'!G307</f>
        <v>37761.01</v>
      </c>
    </row>
    <row r="19" spans="1:3" x14ac:dyDescent="0.2">
      <c r="A19" t="s">
        <v>810</v>
      </c>
      <c r="B19" s="241">
        <v>62783.199999999997</v>
      </c>
      <c r="C19" s="241">
        <v>18454.580000000002</v>
      </c>
    </row>
    <row r="20" spans="1:3" x14ac:dyDescent="0.2">
      <c r="A20" t="s">
        <v>811</v>
      </c>
      <c r="B20" s="241">
        <v>35911.839999999997</v>
      </c>
      <c r="C20" s="241">
        <v>19214.62</v>
      </c>
    </row>
    <row r="21" spans="1:3" x14ac:dyDescent="0.2">
      <c r="A21" t="s">
        <v>812</v>
      </c>
      <c r="B21" s="241">
        <v>1200.45</v>
      </c>
      <c r="C21" s="241">
        <v>91.81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99895.489999999991</v>
      </c>
      <c r="C22" s="232">
        <f>SUM(C19:C21)</f>
        <v>37761.009999999995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21651.350000000002</v>
      </c>
      <c r="C36" s="236">
        <f>'DOE25'!G192+'DOE25'!G210+'DOE25'!G228+'DOE25'!G271+'DOE25'!G290+'DOE25'!G309</f>
        <v>3101.79</v>
      </c>
    </row>
    <row r="37" spans="1:3" x14ac:dyDescent="0.2">
      <c r="A37" t="s">
        <v>810</v>
      </c>
      <c r="B37" s="241">
        <v>2471.04</v>
      </c>
      <c r="C37" s="241">
        <v>387.2</v>
      </c>
    </row>
    <row r="38" spans="1:3" x14ac:dyDescent="0.2">
      <c r="A38" t="s">
        <v>811</v>
      </c>
      <c r="B38" s="241">
        <v>18475.21</v>
      </c>
      <c r="C38" s="241">
        <v>2660.64</v>
      </c>
    </row>
    <row r="39" spans="1:3" x14ac:dyDescent="0.2">
      <c r="A39" t="s">
        <v>812</v>
      </c>
      <c r="B39" s="241">
        <v>705.1</v>
      </c>
      <c r="C39" s="241">
        <v>53.95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21651.35</v>
      </c>
      <c r="C40" s="232">
        <f>SUM(C37:C39)</f>
        <v>3101.7899999999995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EC42-8572-465F-A08D-F9D07CC3E37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Warren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1328076.52</v>
      </c>
      <c r="D5" s="20">
        <f>SUM('DOE25'!L189:L192)+SUM('DOE25'!L207:L210)+SUM('DOE25'!L225:L228)-F5-G5</f>
        <v>1314723.27</v>
      </c>
      <c r="E5" s="244"/>
      <c r="F5" s="256">
        <f>SUM('DOE25'!J189:J192)+SUM('DOE25'!J207:J210)+SUM('DOE25'!J225:J228)</f>
        <v>12544.25</v>
      </c>
      <c r="G5" s="53">
        <f>SUM('DOE25'!K189:K192)+SUM('DOE25'!K207:K210)+SUM('DOE25'!K225:K228)</f>
        <v>809</v>
      </c>
      <c r="H5" s="260"/>
    </row>
    <row r="6" spans="1:9" x14ac:dyDescent="0.2">
      <c r="A6" s="32">
        <v>2100</v>
      </c>
      <c r="B6" t="s">
        <v>832</v>
      </c>
      <c r="C6" s="246">
        <f t="shared" si="0"/>
        <v>99587.079999999987</v>
      </c>
      <c r="D6" s="20">
        <f>'DOE25'!L194+'DOE25'!L212+'DOE25'!L230-F6-G6</f>
        <v>95244.04</v>
      </c>
      <c r="E6" s="244"/>
      <c r="F6" s="256">
        <f>'DOE25'!J194+'DOE25'!J212+'DOE25'!J230</f>
        <v>0</v>
      </c>
      <c r="G6" s="53">
        <f>'DOE25'!K194+'DOE25'!K212+'DOE25'!K230</f>
        <v>4343.04</v>
      </c>
      <c r="H6" s="260"/>
    </row>
    <row r="7" spans="1:9" x14ac:dyDescent="0.2">
      <c r="A7" s="32">
        <v>2200</v>
      </c>
      <c r="B7" t="s">
        <v>865</v>
      </c>
      <c r="C7" s="246">
        <f t="shared" si="0"/>
        <v>35899.549999999996</v>
      </c>
      <c r="D7" s="20">
        <f>'DOE25'!L195+'DOE25'!L213+'DOE25'!L231-F7-G7</f>
        <v>35899.549999999996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52443.799999999981</v>
      </c>
      <c r="D8" s="244"/>
      <c r="E8" s="20">
        <f>'DOE25'!L196+'DOE25'!L214+'DOE25'!L232-F8-G8-D9-D11</f>
        <v>50096.479999999981</v>
      </c>
      <c r="F8" s="256">
        <f>'DOE25'!J196+'DOE25'!J214+'DOE25'!J232</f>
        <v>0</v>
      </c>
      <c r="G8" s="53">
        <f>'DOE25'!K196+'DOE25'!K214+'DOE25'!K232</f>
        <v>2347.3199999999997</v>
      </c>
      <c r="H8" s="260"/>
    </row>
    <row r="9" spans="1:9" x14ac:dyDescent="0.2">
      <c r="A9" s="32">
        <v>2310</v>
      </c>
      <c r="B9" t="s">
        <v>849</v>
      </c>
      <c r="C9" s="246">
        <f t="shared" si="0"/>
        <v>16304.88</v>
      </c>
      <c r="D9" s="245">
        <v>16304.88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6008</v>
      </c>
      <c r="D10" s="244"/>
      <c r="E10" s="245">
        <v>6008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20192</v>
      </c>
      <c r="D11" s="245">
        <v>20192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101693.93</v>
      </c>
      <c r="D12" s="20">
        <f>'DOE25'!L197+'DOE25'!L215+'DOE25'!L233-F12-G12</f>
        <v>101071.53</v>
      </c>
      <c r="E12" s="244"/>
      <c r="F12" s="256">
        <f>'DOE25'!J197+'DOE25'!J215+'DOE25'!J233</f>
        <v>448</v>
      </c>
      <c r="G12" s="53">
        <f>'DOE25'!K197+'DOE25'!K215+'DOE25'!K233</f>
        <v>174.4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140281.32</v>
      </c>
      <c r="D14" s="20">
        <f>'DOE25'!L199+'DOE25'!L217+'DOE25'!L235-F14-G14</f>
        <v>108886.34000000001</v>
      </c>
      <c r="E14" s="244"/>
      <c r="F14" s="256">
        <f>'DOE25'!J199+'DOE25'!J217+'DOE25'!J235</f>
        <v>31394.98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99837.97</v>
      </c>
      <c r="D15" s="20">
        <f>'DOE25'!L200+'DOE25'!L218+'DOE25'!L236-F15-G15</f>
        <v>99837.97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1136.07</v>
      </c>
      <c r="D16" s="244"/>
      <c r="E16" s="20">
        <f>'DOE25'!L201+'DOE25'!L219+'DOE25'!L237-F16-G16</f>
        <v>1136.07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20710</v>
      </c>
      <c r="D25" s="244"/>
      <c r="E25" s="244"/>
      <c r="F25" s="259"/>
      <c r="G25" s="257"/>
      <c r="H25" s="258">
        <f>'DOE25'!L252+'DOE25'!L253+'DOE25'!L333+'DOE25'!L334</f>
        <v>20710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24819.549999999996</v>
      </c>
      <c r="D29" s="20">
        <f>'DOE25'!L350+'DOE25'!L351+'DOE25'!L352-'DOE25'!I359-F29-G29</f>
        <v>24730.549999999996</v>
      </c>
      <c r="E29" s="244"/>
      <c r="F29" s="256">
        <f>'DOE25'!J350+'DOE25'!J351+'DOE25'!J352</f>
        <v>89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118084.28</v>
      </c>
      <c r="D31" s="20">
        <f>'DOE25'!L282+'DOE25'!L301+'DOE25'!L320+'DOE25'!L325+'DOE25'!L326+'DOE25'!L327-F31-G31</f>
        <v>88641.12</v>
      </c>
      <c r="E31" s="244"/>
      <c r="F31" s="256">
        <f>'DOE25'!J282+'DOE25'!J301+'DOE25'!J320+'DOE25'!J325+'DOE25'!J326+'DOE25'!J327</f>
        <v>27304.760000000002</v>
      </c>
      <c r="G31" s="53">
        <f>'DOE25'!K282+'DOE25'!K301+'DOE25'!K320+'DOE25'!K325+'DOE25'!K326+'DOE25'!K327</f>
        <v>2138.4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1905531.25</v>
      </c>
      <c r="E33" s="247">
        <f>SUM(E5:E31)</f>
        <v>57240.549999999981</v>
      </c>
      <c r="F33" s="247">
        <f>SUM(F5:F31)</f>
        <v>71780.989999999991</v>
      </c>
      <c r="G33" s="247">
        <f>SUM(G5:G31)</f>
        <v>9812.16</v>
      </c>
      <c r="H33" s="247">
        <f>SUM(H5:H31)</f>
        <v>20710</v>
      </c>
    </row>
    <row r="35" spans="2:8" ht="12" thickBot="1" x14ac:dyDescent="0.25">
      <c r="B35" s="254" t="s">
        <v>878</v>
      </c>
      <c r="D35" s="255">
        <f>E33</f>
        <v>57240.549999999981</v>
      </c>
      <c r="E35" s="250"/>
    </row>
    <row r="36" spans="2:8" ht="12" thickTop="1" x14ac:dyDescent="0.2">
      <c r="B36" t="s">
        <v>846</v>
      </c>
      <c r="D36" s="20">
        <f>D33</f>
        <v>1905531.25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2670-EB2E-4F7F-872F-9798E2D6382A}">
  <sheetPr transitionEvaluation="1" codeName="Sheet2">
    <tabColor indexed="10"/>
  </sheetPr>
  <dimension ref="A1:I156"/>
  <sheetViews>
    <sheetView zoomScale="75" workbookViewId="0">
      <pane ySplit="2" topLeftCell="A4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137642.16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46993.88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25567.919999999998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14025.84</v>
      </c>
      <c r="D13" s="95">
        <f>'DOE25'!G13</f>
        <v>5397.96</v>
      </c>
      <c r="E13" s="95">
        <f>'DOE25'!H13</f>
        <v>20184.62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1699.2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178935.12000000002</v>
      </c>
      <c r="D19" s="41">
        <f>SUM(D9:D18)</f>
        <v>5397.96</v>
      </c>
      <c r="E19" s="41">
        <f>SUM(E9:E18)</f>
        <v>20184.62</v>
      </c>
      <c r="F19" s="41">
        <f>SUM(F9:F18)</f>
        <v>0</v>
      </c>
      <c r="G19" s="41">
        <f>SUM(G9:G18)</f>
        <v>46993.88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5383.3</v>
      </c>
      <c r="E22" s="95">
        <f>'DOE25'!H23</f>
        <v>20184.62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2097.7199999999998</v>
      </c>
      <c r="D24" s="95">
        <f>'DOE25'!G25</f>
        <v>14.66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1601.06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3698.7799999999997</v>
      </c>
      <c r="D32" s="41">
        <f>SUM(D22:D31)</f>
        <v>5397.96</v>
      </c>
      <c r="E32" s="41">
        <f>SUM(E22:E31)</f>
        <v>20184.62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88512.83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46993.88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66723.509999999995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175236.34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46993.88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178935.12</v>
      </c>
      <c r="D43" s="41">
        <f>D42+D32</f>
        <v>5397.96</v>
      </c>
      <c r="E43" s="41">
        <f>E42+E32</f>
        <v>20184.62</v>
      </c>
      <c r="F43" s="41">
        <f>F42+F32</f>
        <v>0</v>
      </c>
      <c r="G43" s="41">
        <f>G42+G32</f>
        <v>46993.88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969172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399.03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55.5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6799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4606.9799999999996</v>
      </c>
      <c r="D53" s="95">
        <f>SUM('DOE25'!G90:G102)</f>
        <v>0</v>
      </c>
      <c r="E53" s="95">
        <f>SUM('DOE25'!H90:H102)</f>
        <v>20713.13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5006.0099999999993</v>
      </c>
      <c r="D54" s="130">
        <f>SUM(D49:D53)</f>
        <v>6799</v>
      </c>
      <c r="E54" s="130">
        <f>SUM(E49:E53)</f>
        <v>20713.13</v>
      </c>
      <c r="F54" s="130">
        <f>SUM(F49:F53)</f>
        <v>0</v>
      </c>
      <c r="G54" s="130">
        <f>SUM(G49:G53)</f>
        <v>55.5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974178.01</v>
      </c>
      <c r="D55" s="22">
        <f>D48+D54</f>
        <v>6799</v>
      </c>
      <c r="E55" s="22">
        <f>E48+E54</f>
        <v>20713.13</v>
      </c>
      <c r="F55" s="22">
        <f>F48+F54</f>
        <v>0</v>
      </c>
      <c r="G55" s="22">
        <f>G48+G54</f>
        <v>55.5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815299.32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180210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29570.68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1025080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6988.39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19026.879999999997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336.57</v>
      </c>
      <c r="E69" s="95">
        <f>SUM('DOE25'!H123:H127)</f>
        <v>850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26015.269999999997</v>
      </c>
      <c r="D70" s="130">
        <f>SUM(D64:D69)</f>
        <v>336.57</v>
      </c>
      <c r="E70" s="130">
        <f>SUM(E64:E69)</f>
        <v>850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1051095.27</v>
      </c>
      <c r="D73" s="130">
        <f>SUM(D71:D72)+D70+D62</f>
        <v>336.57</v>
      </c>
      <c r="E73" s="130">
        <f>SUM(E71:E72)+E70+E62</f>
        <v>850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15424.99</v>
      </c>
      <c r="D80" s="95">
        <f>SUM('DOE25'!G145:G153)</f>
        <v>20640.559999999998</v>
      </c>
      <c r="E80" s="95">
        <f>SUM('DOE25'!H145:H153)</f>
        <v>95312.109999999986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12291.81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27716.799999999999</v>
      </c>
      <c r="D83" s="131">
        <f>SUM(D77:D82)</f>
        <v>20640.559999999998</v>
      </c>
      <c r="E83" s="131">
        <f>SUM(E77:E82)</f>
        <v>95312.109999999986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16144.64</v>
      </c>
      <c r="E88" s="95">
        <f>'DOE25'!H171</f>
        <v>1209.04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16144.64</v>
      </c>
      <c r="E95" s="86">
        <f>SUM(E85:E94)</f>
        <v>1209.04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2052990.08</v>
      </c>
      <c r="D96" s="86">
        <f>D55+D73+D83+D95</f>
        <v>43920.77</v>
      </c>
      <c r="E96" s="86">
        <f>E55+E73+E83+E95</f>
        <v>118084.27999999998</v>
      </c>
      <c r="F96" s="86">
        <f>F55+F73+F83+F95</f>
        <v>0</v>
      </c>
      <c r="G96" s="86">
        <f>G55+G73+G95</f>
        <v>20055.5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1107830</v>
      </c>
      <c r="D101" s="24" t="s">
        <v>312</v>
      </c>
      <c r="E101" s="95">
        <f>('DOE25'!L268)+('DOE25'!L287)+('DOE25'!L306)</f>
        <v>26144.880000000001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173615.43</v>
      </c>
      <c r="D102" s="24" t="s">
        <v>312</v>
      </c>
      <c r="E102" s="95">
        <f>('DOE25'!L269)+('DOE25'!L288)+('DOE25'!L307)</f>
        <v>50600.49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41078.839999999997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5552.2500000000009</v>
      </c>
      <c r="D104" s="24" t="s">
        <v>312</v>
      </c>
      <c r="E104" s="95">
        <f>+('DOE25'!L271)+('DOE25'!L290)+('DOE25'!L309)</f>
        <v>22071.54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1328076.52</v>
      </c>
      <c r="D107" s="86">
        <f>SUM(D101:D106)</f>
        <v>0</v>
      </c>
      <c r="E107" s="86">
        <f>SUM(E101:E106)</f>
        <v>98816.91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99587.079999999987</v>
      </c>
      <c r="D110" s="24" t="s">
        <v>312</v>
      </c>
      <c r="E110" s="95">
        <f>+('DOE25'!L273)+('DOE25'!L292)+('DOE25'!L311)</f>
        <v>1953.2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35899.549999999996</v>
      </c>
      <c r="D111" s="24" t="s">
        <v>312</v>
      </c>
      <c r="E111" s="95">
        <f>+('DOE25'!L274)+('DOE25'!L293)+('DOE25'!L312)</f>
        <v>9678.9700000000012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88940.68</v>
      </c>
      <c r="D112" s="24" t="s">
        <v>312</v>
      </c>
      <c r="E112" s="95">
        <f>+('DOE25'!L275)+('DOE25'!L294)+('DOE25'!L313)</f>
        <v>1035.2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101693.93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140281.32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99837.97</v>
      </c>
      <c r="D116" s="24" t="s">
        <v>312</v>
      </c>
      <c r="E116" s="95">
        <f>+('DOE25'!L279)+('DOE25'!L298)+('DOE25'!L317)</f>
        <v>6600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1136.07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43920.77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567376.6</v>
      </c>
      <c r="D120" s="86">
        <f>SUM(D110:D119)</f>
        <v>43920.77</v>
      </c>
      <c r="E120" s="86">
        <f>SUM(E110:E119)</f>
        <v>19267.370000000003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710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16144.64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1209.04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4.67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20050.829999999998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-55.499999999996362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58063.679999999993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1953516.8</v>
      </c>
      <c r="D137" s="86">
        <f>(D107+D120+D136)</f>
        <v>43920.77</v>
      </c>
      <c r="E137" s="86">
        <f>(E107+E120+E136)</f>
        <v>118084.28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12746.24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5436.6399999999994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5436.6399999999994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2658.49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2658.49</v>
      </c>
    </row>
    <row r="151" spans="1:7" x14ac:dyDescent="0.2">
      <c r="A151" s="22" t="s">
        <v>35</v>
      </c>
      <c r="B151" s="137">
        <f>'DOE25'!F488</f>
        <v>2778.15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2778.15</v>
      </c>
    </row>
    <row r="152" spans="1:7" x14ac:dyDescent="0.2">
      <c r="A152" s="22" t="s">
        <v>36</v>
      </c>
      <c r="B152" s="137">
        <f>'DOE25'!F489</f>
        <v>124.99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124.99</v>
      </c>
    </row>
    <row r="153" spans="1:7" x14ac:dyDescent="0.2">
      <c r="A153" s="22" t="s">
        <v>37</v>
      </c>
      <c r="B153" s="137">
        <f>'DOE25'!F490</f>
        <v>2903.14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2903.14</v>
      </c>
    </row>
    <row r="154" spans="1:7" x14ac:dyDescent="0.2">
      <c r="A154" s="22" t="s">
        <v>38</v>
      </c>
      <c r="B154" s="137">
        <f>'DOE25'!F491</f>
        <v>2778.15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2778.15</v>
      </c>
    </row>
    <row r="155" spans="1:7" x14ac:dyDescent="0.2">
      <c r="A155" s="22" t="s">
        <v>39</v>
      </c>
      <c r="B155" s="137">
        <f>'DOE25'!F492</f>
        <v>124.99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124.99</v>
      </c>
    </row>
    <row r="156" spans="1:7" x14ac:dyDescent="0.2">
      <c r="A156" s="22" t="s">
        <v>269</v>
      </c>
      <c r="B156" s="137">
        <f>'DOE25'!F493</f>
        <v>2903.14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2903.14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17CC-70FD-4F6C-B3E9-C8A54656BF4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Warren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16811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16811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1133975</v>
      </c>
      <c r="D10" s="182">
        <f>ROUND((C10/$C$28)*100,1)</f>
        <v>55.3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224216</v>
      </c>
      <c r="D11" s="182">
        <f>ROUND((C11/$C$28)*100,1)</f>
        <v>10.9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41079</v>
      </c>
      <c r="D12" s="182">
        <f>ROUND((C12/$C$28)*100,1)</f>
        <v>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27624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101540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45579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91112</v>
      </c>
      <c r="D17" s="182">
        <f t="shared" si="0"/>
        <v>4.4000000000000004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101694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140281</v>
      </c>
      <c r="D20" s="182">
        <f t="shared" si="0"/>
        <v>6.8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106438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710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37122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2051370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2051370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969172</v>
      </c>
      <c r="D35" s="182">
        <f t="shared" ref="D35:D40" si="1">ROUND((C35/$C$41)*100,1)</f>
        <v>44.2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25774.640000000014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1025080</v>
      </c>
      <c r="D37" s="182">
        <f t="shared" si="1"/>
        <v>46.8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27202</v>
      </c>
      <c r="D38" s="182">
        <f t="shared" si="1"/>
        <v>1.2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143669</v>
      </c>
      <c r="D39" s="182">
        <f t="shared" si="1"/>
        <v>6.6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2190897.64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89BB-8CC3-4676-AAB6-5D5BCB82B61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Warren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FC40:FM40"/>
    <mergeCell ref="FP40:FZ40"/>
    <mergeCell ref="CC40:CM40"/>
    <mergeCell ref="CP40:CZ40"/>
    <mergeCell ref="DC40:DM40"/>
    <mergeCell ref="EP40:EZ40"/>
    <mergeCell ref="DP40:DZ40"/>
    <mergeCell ref="BP39:BZ39"/>
    <mergeCell ref="C44:M44"/>
    <mergeCell ref="BC40:BM40"/>
    <mergeCell ref="BP40:BZ40"/>
    <mergeCell ref="C43:M43"/>
    <mergeCell ref="AP40:AZ40"/>
    <mergeCell ref="P39:Z39"/>
    <mergeCell ref="AC39:AM39"/>
    <mergeCell ref="AP39:AZ39"/>
    <mergeCell ref="C40:M40"/>
    <mergeCell ref="HC39:HM39"/>
    <mergeCell ref="GC39:GM39"/>
    <mergeCell ref="GP39:GZ39"/>
    <mergeCell ref="HC32:HM32"/>
    <mergeCell ref="CC39:CM39"/>
    <mergeCell ref="DC39:DM39"/>
    <mergeCell ref="DP39:DZ39"/>
    <mergeCell ref="EC39:EM39"/>
    <mergeCell ref="CP39:CZ39"/>
    <mergeCell ref="DP32:DZ32"/>
    <mergeCell ref="EC32:EM32"/>
    <mergeCell ref="CC38:CM38"/>
    <mergeCell ref="IP38:IV38"/>
    <mergeCell ref="GP38:GZ38"/>
    <mergeCell ref="HC38:HM38"/>
    <mergeCell ref="HP38:HZ38"/>
    <mergeCell ref="HP39:HZ39"/>
    <mergeCell ref="IC38:IM38"/>
    <mergeCell ref="GC38:GM38"/>
    <mergeCell ref="CC32:CM32"/>
    <mergeCell ref="FP38:FZ38"/>
    <mergeCell ref="CP38:CZ38"/>
    <mergeCell ref="DC38:DM38"/>
    <mergeCell ref="DP38:DZ38"/>
    <mergeCell ref="CP32:CZ32"/>
    <mergeCell ref="DC32:DM32"/>
    <mergeCell ref="FC38:FM38"/>
    <mergeCell ref="GC32:GM32"/>
    <mergeCell ref="EP32:EZ32"/>
    <mergeCell ref="HP32:HZ32"/>
    <mergeCell ref="GP32:GZ32"/>
    <mergeCell ref="IP39:IV39"/>
    <mergeCell ref="EP39:EZ39"/>
    <mergeCell ref="FC39:FM39"/>
    <mergeCell ref="FP39:FZ39"/>
    <mergeCell ref="IC39:IM39"/>
    <mergeCell ref="IC31:IM31"/>
    <mergeCell ref="DP31:DZ31"/>
    <mergeCell ref="EC31:EM31"/>
    <mergeCell ref="EP31:EZ31"/>
    <mergeCell ref="FC31:FM31"/>
    <mergeCell ref="FP31:FZ31"/>
    <mergeCell ref="GC31:GM31"/>
    <mergeCell ref="GP31:GZ31"/>
    <mergeCell ref="IC30:IM30"/>
    <mergeCell ref="IP30:IV30"/>
    <mergeCell ref="FP30:FZ30"/>
    <mergeCell ref="GC30:GM30"/>
    <mergeCell ref="GP30:GZ30"/>
    <mergeCell ref="HC30:HM30"/>
    <mergeCell ref="HP30:HZ30"/>
    <mergeCell ref="BC39:BM39"/>
    <mergeCell ref="BP31:BZ31"/>
    <mergeCell ref="BP32:BZ32"/>
    <mergeCell ref="BC38:BM38"/>
    <mergeCell ref="FC30:FM30"/>
    <mergeCell ref="CC30:CM30"/>
    <mergeCell ref="CP30:CZ30"/>
    <mergeCell ref="DC30:DM30"/>
    <mergeCell ref="DP30:DZ30"/>
    <mergeCell ref="EC38:EM38"/>
    <mergeCell ref="IP32:IV32"/>
    <mergeCell ref="C39:M39"/>
    <mergeCell ref="CC31:CM31"/>
    <mergeCell ref="CP31:CZ31"/>
    <mergeCell ref="HC31:HM31"/>
    <mergeCell ref="HP31:HZ31"/>
    <mergeCell ref="IP31:IV31"/>
    <mergeCell ref="FP32:FZ32"/>
    <mergeCell ref="BC31:BM31"/>
    <mergeCell ref="BC32:BM32"/>
    <mergeCell ref="FC32:FM32"/>
    <mergeCell ref="AP32:AZ32"/>
    <mergeCell ref="IC29:IM29"/>
    <mergeCell ref="IP29:IV29"/>
    <mergeCell ref="FC29:FM29"/>
    <mergeCell ref="FP29:FZ29"/>
    <mergeCell ref="GC29:GM29"/>
    <mergeCell ref="GP29:GZ29"/>
    <mergeCell ref="DC31:DM31"/>
    <mergeCell ref="IC32:IM32"/>
    <mergeCell ref="HC29:HM29"/>
    <mergeCell ref="HP29:HZ29"/>
    <mergeCell ref="BC30:BM30"/>
    <mergeCell ref="BP30:BZ30"/>
    <mergeCell ref="EC30:EM30"/>
    <mergeCell ref="EP30:EZ30"/>
    <mergeCell ref="BP38:BZ38"/>
    <mergeCell ref="EC29:EM29"/>
    <mergeCell ref="EP29:EZ29"/>
    <mergeCell ref="BC29:BM29"/>
    <mergeCell ref="BP29:BZ29"/>
    <mergeCell ref="CC29:CM29"/>
    <mergeCell ref="CP29:CZ29"/>
    <mergeCell ref="DC29:DM29"/>
    <mergeCell ref="DP29:DZ29"/>
    <mergeCell ref="EP38:EZ38"/>
    <mergeCell ref="AP30:AZ30"/>
    <mergeCell ref="C41:M41"/>
    <mergeCell ref="C33:M33"/>
    <mergeCell ref="P40:Z40"/>
    <mergeCell ref="AC40:AM40"/>
    <mergeCell ref="AC31:AM31"/>
    <mergeCell ref="AP31:AZ31"/>
    <mergeCell ref="AP38:AZ38"/>
    <mergeCell ref="P32:Z32"/>
    <mergeCell ref="AC32:AM32"/>
    <mergeCell ref="C30:M30"/>
    <mergeCell ref="C31:M31"/>
    <mergeCell ref="P31:Z31"/>
    <mergeCell ref="C42:M42"/>
    <mergeCell ref="P30:Z30"/>
    <mergeCell ref="AC30:AM30"/>
    <mergeCell ref="P38:Z38"/>
    <mergeCell ref="AC38:AM38"/>
    <mergeCell ref="C37:M37"/>
    <mergeCell ref="C38:M38"/>
    <mergeCell ref="AC29:AM29"/>
    <mergeCell ref="AP29:AZ29"/>
    <mergeCell ref="C18:M18"/>
    <mergeCell ref="C19:M19"/>
    <mergeCell ref="C28:M28"/>
    <mergeCell ref="C21:M21"/>
    <mergeCell ref="C22:M22"/>
    <mergeCell ref="C23:M23"/>
    <mergeCell ref="C24:M24"/>
    <mergeCell ref="A2:E2"/>
    <mergeCell ref="A1:I1"/>
    <mergeCell ref="C3:M3"/>
    <mergeCell ref="C4:M4"/>
    <mergeCell ref="F2:I2"/>
    <mergeCell ref="P29:Z29"/>
    <mergeCell ref="C10:M10"/>
    <mergeCell ref="C11:M11"/>
    <mergeCell ref="C12:M12"/>
    <mergeCell ref="C13:M13"/>
    <mergeCell ref="C62:M62"/>
    <mergeCell ref="C63:M63"/>
    <mergeCell ref="C64:M64"/>
    <mergeCell ref="C65:M65"/>
    <mergeCell ref="C5:M5"/>
    <mergeCell ref="C6:M6"/>
    <mergeCell ref="C7:M7"/>
    <mergeCell ref="C9:M9"/>
    <mergeCell ref="C8:M8"/>
    <mergeCell ref="C32:M32"/>
    <mergeCell ref="C34:M34"/>
    <mergeCell ref="C35:M35"/>
    <mergeCell ref="C36:M36"/>
    <mergeCell ref="C14:M14"/>
    <mergeCell ref="C15:M15"/>
    <mergeCell ref="C20:M20"/>
    <mergeCell ref="C29:M29"/>
    <mergeCell ref="C16:M16"/>
    <mergeCell ref="C17:M17"/>
    <mergeCell ref="C27:M27"/>
    <mergeCell ref="C68:M68"/>
    <mergeCell ref="C69:M69"/>
    <mergeCell ref="C70:M70"/>
    <mergeCell ref="A72:E72"/>
    <mergeCell ref="C73:M73"/>
    <mergeCell ref="C74:M74"/>
    <mergeCell ref="C87:M87"/>
    <mergeCell ref="C88:M88"/>
    <mergeCell ref="C89:M89"/>
    <mergeCell ref="C90:M90"/>
    <mergeCell ref="C75:M75"/>
    <mergeCell ref="C76:M76"/>
    <mergeCell ref="C77:M77"/>
    <mergeCell ref="C78:M78"/>
    <mergeCell ref="C79:M79"/>
    <mergeCell ref="C80:M80"/>
    <mergeCell ref="C25:M25"/>
    <mergeCell ref="C26:M26"/>
    <mergeCell ref="C83:M83"/>
    <mergeCell ref="C84:M84"/>
    <mergeCell ref="C85:M85"/>
    <mergeCell ref="C86:M86"/>
    <mergeCell ref="C81:M81"/>
    <mergeCell ref="C82:M82"/>
    <mergeCell ref="C66:M66"/>
    <mergeCell ref="C67:M6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2011-11-10T12:56:37Z</cp:lastPrinted>
  <dcterms:created xsi:type="dcterms:W3CDTF">1997-12-04T19:04:30Z</dcterms:created>
  <dcterms:modified xsi:type="dcterms:W3CDTF">2025-01-16T15:39:52Z</dcterms:modified>
</cp:coreProperties>
</file>