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0DA7555F-511B-4082-ACA9-CC8AF02C3462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7733B91D-EEBE-4F85-AA90-16B6EC22209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0" l="1"/>
  <c r="C60" i="2"/>
  <c r="B2" i="13"/>
  <c r="F8" i="13"/>
  <c r="G8" i="13"/>
  <c r="L196" i="1"/>
  <c r="L214" i="1"/>
  <c r="L232" i="1"/>
  <c r="D39" i="13"/>
  <c r="F13" i="13"/>
  <c r="G13" i="13"/>
  <c r="L198" i="1"/>
  <c r="L216" i="1"/>
  <c r="L234" i="1"/>
  <c r="F16" i="13"/>
  <c r="G16" i="13"/>
  <c r="L201" i="1"/>
  <c r="L219" i="1"/>
  <c r="L237" i="1"/>
  <c r="E16" i="13"/>
  <c r="C117" i="2"/>
  <c r="F5" i="13"/>
  <c r="G5" i="13"/>
  <c r="L189" i="1"/>
  <c r="L190" i="1"/>
  <c r="L191" i="1"/>
  <c r="L192" i="1"/>
  <c r="L207" i="1"/>
  <c r="L208" i="1"/>
  <c r="L209" i="1"/>
  <c r="L210" i="1"/>
  <c r="L225" i="1"/>
  <c r="L226" i="1"/>
  <c r="L227" i="1"/>
  <c r="L228" i="1"/>
  <c r="F6" i="13"/>
  <c r="G6" i="13"/>
  <c r="L194" i="1"/>
  <c r="L212" i="1"/>
  <c r="L230" i="1"/>
  <c r="F7" i="13"/>
  <c r="G7" i="13"/>
  <c r="L195" i="1"/>
  <c r="L213" i="1"/>
  <c r="L231" i="1"/>
  <c r="D7" i="13"/>
  <c r="C7" i="13"/>
  <c r="F12" i="13"/>
  <c r="G12" i="13"/>
  <c r="L197" i="1"/>
  <c r="L215" i="1"/>
  <c r="L233" i="1"/>
  <c r="D12" i="13"/>
  <c r="C12" i="13"/>
  <c r="F14" i="13"/>
  <c r="G14" i="13"/>
  <c r="L199" i="1"/>
  <c r="L217" i="1"/>
  <c r="L235" i="1"/>
  <c r="D14" i="13"/>
  <c r="C14" i="13"/>
  <c r="F15" i="13"/>
  <c r="G15" i="13"/>
  <c r="L200" i="1"/>
  <c r="L218" i="1"/>
  <c r="L236" i="1"/>
  <c r="L246" i="1"/>
  <c r="C116" i="2"/>
  <c r="F17" i="13"/>
  <c r="G17" i="13"/>
  <c r="L243" i="1"/>
  <c r="D17" i="13"/>
  <c r="C17" i="13"/>
  <c r="F18" i="13"/>
  <c r="G18" i="13"/>
  <c r="L244" i="1"/>
  <c r="D18" i="13"/>
  <c r="C18" i="13"/>
  <c r="F19" i="13"/>
  <c r="G19" i="13"/>
  <c r="L245" i="1"/>
  <c r="D19" i="13"/>
  <c r="C19" i="13"/>
  <c r="F29" i="13"/>
  <c r="L247" i="1"/>
  <c r="L328" i="1"/>
  <c r="F22" i="13"/>
  <c r="J282" i="1"/>
  <c r="J301" i="1"/>
  <c r="J320" i="1"/>
  <c r="F31" i="13"/>
  <c r="F33" i="13"/>
  <c r="G29" i="13"/>
  <c r="K282" i="1"/>
  <c r="K301" i="1"/>
  <c r="K320" i="1"/>
  <c r="G31" i="13"/>
  <c r="G33" i="13"/>
  <c r="L350" i="1"/>
  <c r="L351" i="1"/>
  <c r="L352" i="1"/>
  <c r="F651" i="1"/>
  <c r="G651" i="1"/>
  <c r="I359" i="1"/>
  <c r="L268" i="1"/>
  <c r="L269" i="1"/>
  <c r="L270" i="1"/>
  <c r="L271" i="1"/>
  <c r="L273" i="1"/>
  <c r="L274" i="1"/>
  <c r="L275" i="1"/>
  <c r="L280" i="1"/>
  <c r="L294" i="1"/>
  <c r="L299" i="1"/>
  <c r="L313" i="1"/>
  <c r="L318" i="1"/>
  <c r="C17" i="10"/>
  <c r="L276" i="1"/>
  <c r="L277" i="1"/>
  <c r="L278" i="1"/>
  <c r="L279" i="1"/>
  <c r="L282" i="1"/>
  <c r="L287" i="1"/>
  <c r="L306" i="1"/>
  <c r="C10" i="10"/>
  <c r="L288" i="1"/>
  <c r="L307" i="1"/>
  <c r="E102" i="2"/>
  <c r="L289" i="1"/>
  <c r="L308" i="1"/>
  <c r="C12" i="10"/>
  <c r="L290" i="1"/>
  <c r="L309" i="1"/>
  <c r="C13" i="10"/>
  <c r="L292" i="1"/>
  <c r="L311" i="1"/>
  <c r="C15" i="10"/>
  <c r="L293" i="1"/>
  <c r="L312" i="1"/>
  <c r="E111" i="2"/>
  <c r="E112" i="2"/>
  <c r="E110" i="2"/>
  <c r="L295" i="1"/>
  <c r="L314" i="1"/>
  <c r="E113" i="2"/>
  <c r="L296" i="1"/>
  <c r="L315" i="1"/>
  <c r="E114" i="2"/>
  <c r="L297" i="1"/>
  <c r="L316" i="1"/>
  <c r="E115" i="2"/>
  <c r="L298" i="1"/>
  <c r="L317" i="1"/>
  <c r="E116" i="2"/>
  <c r="E117" i="2"/>
  <c r="E120" i="2"/>
  <c r="C19" i="10"/>
  <c r="G652" i="1"/>
  <c r="F652" i="1"/>
  <c r="H652" i="1"/>
  <c r="I652" i="1"/>
  <c r="L320" i="1"/>
  <c r="L325" i="1"/>
  <c r="L326" i="1"/>
  <c r="L327" i="1"/>
  <c r="E106" i="2"/>
  <c r="E101" i="2"/>
  <c r="E103" i="2"/>
  <c r="E104" i="2"/>
  <c r="L324" i="1"/>
  <c r="E105" i="2"/>
  <c r="E107" i="2"/>
  <c r="L252" i="1"/>
  <c r="C123" i="2"/>
  <c r="L253" i="1"/>
  <c r="C124" i="2"/>
  <c r="L333" i="1"/>
  <c r="L334" i="1"/>
  <c r="C11" i="13"/>
  <c r="C10" i="13"/>
  <c r="C9" i="13"/>
  <c r="L353" i="1"/>
  <c r="B4" i="12"/>
  <c r="B36" i="12"/>
  <c r="C36" i="12"/>
  <c r="B40" i="12"/>
  <c r="C40" i="12"/>
  <c r="A40" i="12"/>
  <c r="B27" i="12"/>
  <c r="C27" i="12"/>
  <c r="B31" i="12"/>
  <c r="C31" i="12"/>
  <c r="B9" i="12"/>
  <c r="B13" i="12"/>
  <c r="C9" i="12"/>
  <c r="C13" i="12"/>
  <c r="A13" i="12"/>
  <c r="B18" i="12"/>
  <c r="B22" i="12"/>
  <c r="C22" i="12"/>
  <c r="C18" i="12"/>
  <c r="A22" i="12"/>
  <c r="B1" i="12"/>
  <c r="L379" i="1"/>
  <c r="L380" i="1"/>
  <c r="L381" i="1"/>
  <c r="L382" i="1"/>
  <c r="L383" i="1"/>
  <c r="L384" i="1"/>
  <c r="L385" i="1"/>
  <c r="C130" i="2"/>
  <c r="L387" i="1"/>
  <c r="L388" i="1"/>
  <c r="L389" i="1"/>
  <c r="L390" i="1"/>
  <c r="L391" i="1"/>
  <c r="L392" i="1"/>
  <c r="L393" i="1"/>
  <c r="L395" i="1"/>
  <c r="L396" i="1"/>
  <c r="L397" i="1"/>
  <c r="L398" i="1"/>
  <c r="L399" i="1"/>
  <c r="C132" i="2"/>
  <c r="L258" i="1"/>
  <c r="J52" i="1"/>
  <c r="J103" i="1"/>
  <c r="J104" i="1"/>
  <c r="G51" i="2"/>
  <c r="G53" i="2"/>
  <c r="G54" i="2"/>
  <c r="F2" i="11"/>
  <c r="L603" i="1"/>
  <c r="H653" i="1"/>
  <c r="L602" i="1"/>
  <c r="G653" i="1"/>
  <c r="L601" i="1"/>
  <c r="F653" i="1"/>
  <c r="L203" i="1"/>
  <c r="F650" i="1"/>
  <c r="F654" i="1"/>
  <c r="F662" i="1"/>
  <c r="C40" i="10"/>
  <c r="F52" i="1"/>
  <c r="G52" i="1"/>
  <c r="H52" i="1"/>
  <c r="I52" i="1"/>
  <c r="C35" i="10"/>
  <c r="G103" i="1"/>
  <c r="G104" i="1"/>
  <c r="E48" i="2"/>
  <c r="I103" i="1"/>
  <c r="I104" i="1"/>
  <c r="F71" i="1"/>
  <c r="C49" i="2"/>
  <c r="F86" i="1"/>
  <c r="C50" i="2"/>
  <c r="F103" i="1"/>
  <c r="H71" i="1"/>
  <c r="E49" i="2"/>
  <c r="H86" i="1"/>
  <c r="H103" i="1"/>
  <c r="F113" i="1"/>
  <c r="F128" i="1"/>
  <c r="F132" i="1"/>
  <c r="G113" i="1"/>
  <c r="G128" i="1"/>
  <c r="G132" i="1"/>
  <c r="H113" i="1"/>
  <c r="H128" i="1"/>
  <c r="H132" i="1"/>
  <c r="I113" i="1"/>
  <c r="I128" i="1"/>
  <c r="I132" i="1"/>
  <c r="J113" i="1"/>
  <c r="J128" i="1"/>
  <c r="J132" i="1"/>
  <c r="F139" i="1"/>
  <c r="C77" i="2"/>
  <c r="F154" i="1"/>
  <c r="F161" i="1"/>
  <c r="G139" i="1"/>
  <c r="G154" i="1"/>
  <c r="G161" i="1"/>
  <c r="H139" i="1"/>
  <c r="H154" i="1"/>
  <c r="H161" i="1"/>
  <c r="I139" i="1"/>
  <c r="I154" i="1"/>
  <c r="I161" i="1"/>
  <c r="L242" i="1"/>
  <c r="C23" i="10"/>
  <c r="C24" i="10"/>
  <c r="L260" i="1"/>
  <c r="L261" i="1"/>
  <c r="L341" i="1"/>
  <c r="L342" i="1"/>
  <c r="C26" i="10"/>
  <c r="I655" i="1"/>
  <c r="L221" i="1"/>
  <c r="L301" i="1"/>
  <c r="G650" i="1"/>
  <c r="L239" i="1"/>
  <c r="H650" i="1"/>
  <c r="I650" i="1"/>
  <c r="H651" i="1"/>
  <c r="I651" i="1"/>
  <c r="I653" i="1"/>
  <c r="I654" i="1"/>
  <c r="I659" i="1"/>
  <c r="I660" i="1"/>
  <c r="I662" i="1"/>
  <c r="C7" i="10"/>
  <c r="C6" i="10"/>
  <c r="G654" i="1"/>
  <c r="G662" i="1"/>
  <c r="C5" i="10"/>
  <c r="C4" i="10"/>
  <c r="C42" i="10"/>
  <c r="L366" i="1"/>
  <c r="L367" i="1"/>
  <c r="L368" i="1"/>
  <c r="L369" i="1"/>
  <c r="L370" i="1"/>
  <c r="L371" i="1"/>
  <c r="L372" i="1"/>
  <c r="C29" i="10"/>
  <c r="B2" i="10"/>
  <c r="L336" i="1"/>
  <c r="L337" i="1"/>
  <c r="L338" i="1"/>
  <c r="L339" i="1"/>
  <c r="L343" i="1"/>
  <c r="K343" i="1"/>
  <c r="L511" i="1"/>
  <c r="F539" i="1"/>
  <c r="L512" i="1"/>
  <c r="F540" i="1"/>
  <c r="L513" i="1"/>
  <c r="F541" i="1"/>
  <c r="L516" i="1"/>
  <c r="G539" i="1"/>
  <c r="L517" i="1"/>
  <c r="G540" i="1"/>
  <c r="L518" i="1"/>
  <c r="G541" i="1"/>
  <c r="L523" i="1"/>
  <c r="H541" i="1"/>
  <c r="L528" i="1"/>
  <c r="I541" i="1"/>
  <c r="L533" i="1"/>
  <c r="J541" i="1"/>
  <c r="K541" i="1"/>
  <c r="L521" i="1"/>
  <c r="H539" i="1"/>
  <c r="L522" i="1"/>
  <c r="H540" i="1"/>
  <c r="L526" i="1"/>
  <c r="I539" i="1"/>
  <c r="L527" i="1"/>
  <c r="I540" i="1"/>
  <c r="L531" i="1"/>
  <c r="J539" i="1"/>
  <c r="L532" i="1"/>
  <c r="J540" i="1"/>
  <c r="E124" i="2"/>
  <c r="E123" i="2"/>
  <c r="K262" i="1"/>
  <c r="F262" i="1"/>
  <c r="G262" i="1"/>
  <c r="H262" i="1"/>
  <c r="I262" i="1"/>
  <c r="J262" i="1"/>
  <c r="L262" i="1"/>
  <c r="F248" i="1"/>
  <c r="G248" i="1"/>
  <c r="H248" i="1"/>
  <c r="I248" i="1"/>
  <c r="J248" i="1"/>
  <c r="K248" i="1"/>
  <c r="L248" i="1"/>
  <c r="L249" i="1"/>
  <c r="L263" i="1"/>
  <c r="G622" i="1"/>
  <c r="A1" i="2"/>
  <c r="A2" i="2"/>
  <c r="C9" i="2"/>
  <c r="D9" i="2"/>
  <c r="E9" i="2"/>
  <c r="F9" i="2"/>
  <c r="I431" i="1"/>
  <c r="J9" i="1"/>
  <c r="C10" i="2"/>
  <c r="D10" i="2"/>
  <c r="E10" i="2"/>
  <c r="F10" i="2"/>
  <c r="I432" i="1"/>
  <c r="J10" i="1"/>
  <c r="G10" i="2"/>
  <c r="C11" i="2"/>
  <c r="C12" i="2"/>
  <c r="D12" i="2"/>
  <c r="E12" i="2"/>
  <c r="F12" i="2"/>
  <c r="I433" i="1"/>
  <c r="J12" i="1"/>
  <c r="G12" i="2"/>
  <c r="C13" i="2"/>
  <c r="D13" i="2"/>
  <c r="E13" i="2"/>
  <c r="F13" i="2"/>
  <c r="I434" i="1"/>
  <c r="J13" i="1"/>
  <c r="G13" i="2"/>
  <c r="C14" i="2"/>
  <c r="D14" i="2"/>
  <c r="D16" i="2"/>
  <c r="D17" i="2"/>
  <c r="D18" i="2"/>
  <c r="D19" i="2"/>
  <c r="E14" i="2"/>
  <c r="E16" i="2"/>
  <c r="E17" i="2"/>
  <c r="E18" i="2"/>
  <c r="E19" i="2"/>
  <c r="F14" i="2"/>
  <c r="I435" i="1"/>
  <c r="J14" i="1"/>
  <c r="G14" i="2"/>
  <c r="F15" i="2"/>
  <c r="C16" i="2"/>
  <c r="F16" i="2"/>
  <c r="C17" i="2"/>
  <c r="F17" i="2"/>
  <c r="I436" i="1"/>
  <c r="J17" i="1"/>
  <c r="G17" i="2"/>
  <c r="C18" i="2"/>
  <c r="F18" i="2"/>
  <c r="I437" i="1"/>
  <c r="J18" i="1"/>
  <c r="G18" i="2"/>
  <c r="C22" i="2"/>
  <c r="D22" i="2"/>
  <c r="E22" i="2"/>
  <c r="F22" i="2"/>
  <c r="I440" i="1"/>
  <c r="J23" i="1"/>
  <c r="C23" i="2"/>
  <c r="C24" i="2"/>
  <c r="C25" i="2"/>
  <c r="C26" i="2"/>
  <c r="C27" i="2"/>
  <c r="C28" i="2"/>
  <c r="C29" i="2"/>
  <c r="C30" i="2"/>
  <c r="C31" i="2"/>
  <c r="C32" i="2"/>
  <c r="D23" i="2"/>
  <c r="D24" i="2"/>
  <c r="D25" i="2"/>
  <c r="D28" i="2"/>
  <c r="D29" i="2"/>
  <c r="D30" i="2"/>
  <c r="D31" i="2"/>
  <c r="D32" i="2"/>
  <c r="E23" i="2"/>
  <c r="E24" i="2"/>
  <c r="E25" i="2"/>
  <c r="E28" i="2"/>
  <c r="E29" i="2"/>
  <c r="E30" i="2"/>
  <c r="E31" i="2"/>
  <c r="E32" i="2"/>
  <c r="F23" i="2"/>
  <c r="I441" i="1"/>
  <c r="I442" i="1"/>
  <c r="I443" i="1"/>
  <c r="I444" i="1"/>
  <c r="F24" i="2"/>
  <c r="J25" i="1"/>
  <c r="G24" i="2"/>
  <c r="F25" i="2"/>
  <c r="F26" i="2"/>
  <c r="F27" i="2"/>
  <c r="F28" i="2"/>
  <c r="F29" i="2"/>
  <c r="F30" i="2"/>
  <c r="F31" i="2"/>
  <c r="J32" i="1"/>
  <c r="G31" i="2"/>
  <c r="C34" i="2"/>
  <c r="D34" i="2"/>
  <c r="E34" i="2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I447" i="1"/>
  <c r="J38" i="1"/>
  <c r="C38" i="2"/>
  <c r="D38" i="2"/>
  <c r="E38" i="2"/>
  <c r="F38" i="2"/>
  <c r="F40" i="2"/>
  <c r="F41" i="2"/>
  <c r="F42" i="2"/>
  <c r="I448" i="1"/>
  <c r="J40" i="1"/>
  <c r="G39" i="2"/>
  <c r="C40" i="2"/>
  <c r="D40" i="2"/>
  <c r="D41" i="2"/>
  <c r="D42" i="2"/>
  <c r="D43" i="2"/>
  <c r="E40" i="2"/>
  <c r="E41" i="2"/>
  <c r="E42" i="2"/>
  <c r="E43" i="2"/>
  <c r="I449" i="1"/>
  <c r="J41" i="1"/>
  <c r="C41" i="2"/>
  <c r="C42" i="2"/>
  <c r="C43" i="2"/>
  <c r="F48" i="2"/>
  <c r="E50" i="2"/>
  <c r="C51" i="2"/>
  <c r="D51" i="2"/>
  <c r="D52" i="2"/>
  <c r="D53" i="2"/>
  <c r="D54" i="2"/>
  <c r="E51" i="2"/>
  <c r="F51" i="2"/>
  <c r="C53" i="2"/>
  <c r="E53" i="2"/>
  <c r="F53" i="2"/>
  <c r="F54" i="2"/>
  <c r="C58" i="2"/>
  <c r="C59" i="2"/>
  <c r="C61" i="2"/>
  <c r="C62" i="2"/>
  <c r="D61" i="2"/>
  <c r="D62" i="2"/>
  <c r="E61" i="2"/>
  <c r="E62" i="2"/>
  <c r="F61" i="2"/>
  <c r="F62" i="2"/>
  <c r="G61" i="2"/>
  <c r="G62" i="2"/>
  <c r="G69" i="2"/>
  <c r="G70" i="2"/>
  <c r="G73" i="2"/>
  <c r="C64" i="2"/>
  <c r="F64" i="2"/>
  <c r="C65" i="2"/>
  <c r="F65" i="2"/>
  <c r="C66" i="2"/>
  <c r="C67" i="2"/>
  <c r="C68" i="2"/>
  <c r="E68" i="2"/>
  <c r="E69" i="2"/>
  <c r="E70" i="2"/>
  <c r="F68" i="2"/>
  <c r="C69" i="2"/>
  <c r="C70" i="2"/>
  <c r="C71" i="2"/>
  <c r="C72" i="2"/>
  <c r="C73" i="2"/>
  <c r="D69" i="2"/>
  <c r="D70" i="2"/>
  <c r="D71" i="2"/>
  <c r="D73" i="2"/>
  <c r="F69" i="2"/>
  <c r="F70" i="2"/>
  <c r="E71" i="2"/>
  <c r="E72" i="2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C86" i="2"/>
  <c r="F86" i="2"/>
  <c r="D88" i="2"/>
  <c r="E88" i="2"/>
  <c r="F88" i="2"/>
  <c r="F89" i="2"/>
  <c r="F91" i="2"/>
  <c r="F92" i="2"/>
  <c r="F93" i="2"/>
  <c r="F94" i="2"/>
  <c r="F95" i="2"/>
  <c r="G88" i="2"/>
  <c r="C89" i="2"/>
  <c r="D89" i="2"/>
  <c r="E89" i="2"/>
  <c r="G89" i="2"/>
  <c r="C90" i="2"/>
  <c r="D90" i="2"/>
  <c r="E90" i="2"/>
  <c r="G90" i="2"/>
  <c r="C91" i="2"/>
  <c r="D91" i="2"/>
  <c r="E91" i="2"/>
  <c r="C92" i="2"/>
  <c r="D92" i="2"/>
  <c r="E92" i="2"/>
  <c r="C93" i="2"/>
  <c r="D93" i="2"/>
  <c r="E93" i="2"/>
  <c r="C94" i="2"/>
  <c r="D94" i="2"/>
  <c r="E94" i="2"/>
  <c r="G95" i="2"/>
  <c r="C105" i="2"/>
  <c r="C106" i="2"/>
  <c r="D107" i="2"/>
  <c r="F107" i="2"/>
  <c r="G107" i="2"/>
  <c r="C114" i="2"/>
  <c r="F120" i="2"/>
  <c r="G120" i="2"/>
  <c r="C122" i="2"/>
  <c r="E122" i="2"/>
  <c r="F122" i="2"/>
  <c r="F126" i="2"/>
  <c r="F136" i="2"/>
  <c r="F137" i="2"/>
  <c r="D126" i="2"/>
  <c r="E126" i="2"/>
  <c r="E127" i="2"/>
  <c r="E129" i="2"/>
  <c r="E134" i="2"/>
  <c r="E135" i="2"/>
  <c r="E136" i="2"/>
  <c r="K411" i="1"/>
  <c r="K419" i="1"/>
  <c r="K425" i="1"/>
  <c r="K426" i="1"/>
  <c r="G126" i="2"/>
  <c r="G136" i="2"/>
  <c r="G137" i="2"/>
  <c r="L255" i="1"/>
  <c r="C127" i="2"/>
  <c r="L256" i="1"/>
  <c r="C128" i="2"/>
  <c r="L257" i="1"/>
  <c r="C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F490" i="1"/>
  <c r="B153" i="2"/>
  <c r="G490" i="1"/>
  <c r="C153" i="2"/>
  <c r="H490" i="1"/>
  <c r="D153" i="2"/>
  <c r="I490" i="1"/>
  <c r="E153" i="2"/>
  <c r="J490" i="1"/>
  <c r="F153" i="2"/>
  <c r="G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F493" i="1"/>
  <c r="B156" i="2"/>
  <c r="G493" i="1"/>
  <c r="C156" i="2"/>
  <c r="H493" i="1"/>
  <c r="D156" i="2"/>
  <c r="I493" i="1"/>
  <c r="E156" i="2"/>
  <c r="J493" i="1"/>
  <c r="F156" i="2"/>
  <c r="G156" i="2"/>
  <c r="F19" i="1"/>
  <c r="G607" i="1"/>
  <c r="G19" i="1"/>
  <c r="G608" i="1"/>
  <c r="H19" i="1"/>
  <c r="G609" i="1"/>
  <c r="I19" i="1"/>
  <c r="G610" i="1"/>
  <c r="F33" i="1"/>
  <c r="G33" i="1"/>
  <c r="H33" i="1"/>
  <c r="I33" i="1"/>
  <c r="I43" i="1"/>
  <c r="I44" i="1"/>
  <c r="H610" i="1"/>
  <c r="F43" i="1"/>
  <c r="G612" i="1"/>
  <c r="G43" i="1"/>
  <c r="G44" i="1"/>
  <c r="H608" i="1"/>
  <c r="J608" i="1"/>
  <c r="H43" i="1"/>
  <c r="H44" i="1"/>
  <c r="H609" i="1"/>
  <c r="J609" i="1"/>
  <c r="G615" i="1"/>
  <c r="I460" i="1"/>
  <c r="I464" i="1"/>
  <c r="I466" i="1"/>
  <c r="H615" i="1"/>
  <c r="J615" i="1"/>
  <c r="F169" i="1"/>
  <c r="I169" i="1"/>
  <c r="F175" i="1"/>
  <c r="G175" i="1"/>
  <c r="H175" i="1"/>
  <c r="H180" i="1"/>
  <c r="H184" i="1"/>
  <c r="I175" i="1"/>
  <c r="I180" i="1"/>
  <c r="I184" i="1"/>
  <c r="J175" i="1"/>
  <c r="J184" i="1"/>
  <c r="F180" i="1"/>
  <c r="G180" i="1"/>
  <c r="G184" i="1"/>
  <c r="F203" i="1"/>
  <c r="G203" i="1"/>
  <c r="H203" i="1"/>
  <c r="I203" i="1"/>
  <c r="J203" i="1"/>
  <c r="J221" i="1"/>
  <c r="J239" i="1"/>
  <c r="J249" i="1"/>
  <c r="J263" i="1"/>
  <c r="K203" i="1"/>
  <c r="K221" i="1"/>
  <c r="K239" i="1"/>
  <c r="K249" i="1"/>
  <c r="F221" i="1"/>
  <c r="F239" i="1"/>
  <c r="F249" i="1"/>
  <c r="F263" i="1"/>
  <c r="G221" i="1"/>
  <c r="G239" i="1"/>
  <c r="G249" i="1"/>
  <c r="G263" i="1"/>
  <c r="H221" i="1"/>
  <c r="H239" i="1"/>
  <c r="H249" i="1"/>
  <c r="H263" i="1"/>
  <c r="I221" i="1"/>
  <c r="I239" i="1"/>
  <c r="I249" i="1"/>
  <c r="I263" i="1"/>
  <c r="F282" i="1"/>
  <c r="G282" i="1"/>
  <c r="H282" i="1"/>
  <c r="I282" i="1"/>
  <c r="F301" i="1"/>
  <c r="F320" i="1"/>
  <c r="F329" i="1"/>
  <c r="F330" i="1"/>
  <c r="F344" i="1"/>
  <c r="G301" i="1"/>
  <c r="H301" i="1"/>
  <c r="I301" i="1"/>
  <c r="I320" i="1"/>
  <c r="I329" i="1"/>
  <c r="I330" i="1"/>
  <c r="I344" i="1"/>
  <c r="G320" i="1"/>
  <c r="H320" i="1"/>
  <c r="G329" i="1"/>
  <c r="H329" i="1"/>
  <c r="J329" i="1"/>
  <c r="K329" i="1"/>
  <c r="L329" i="1"/>
  <c r="J330" i="1"/>
  <c r="J344" i="1"/>
  <c r="F354" i="1"/>
  <c r="G354" i="1"/>
  <c r="H354" i="1"/>
  <c r="I354" i="1"/>
  <c r="G624" i="1"/>
  <c r="J354" i="1"/>
  <c r="K354" i="1"/>
  <c r="I360" i="1"/>
  <c r="I361" i="1"/>
  <c r="H624" i="1"/>
  <c r="F361" i="1"/>
  <c r="G361" i="1"/>
  <c r="H361" i="1"/>
  <c r="L373" i="1"/>
  <c r="F374" i="1"/>
  <c r="G374" i="1"/>
  <c r="H374" i="1"/>
  <c r="I374" i="1"/>
  <c r="J374" i="1"/>
  <c r="K374" i="1"/>
  <c r="L374" i="1"/>
  <c r="F385" i="1"/>
  <c r="G385" i="1"/>
  <c r="H385" i="1"/>
  <c r="H393" i="1"/>
  <c r="H399" i="1"/>
  <c r="H400" i="1"/>
  <c r="H634" i="1"/>
  <c r="G634" i="1"/>
  <c r="J634" i="1"/>
  <c r="I385" i="1"/>
  <c r="F393" i="1"/>
  <c r="G393" i="1"/>
  <c r="I393" i="1"/>
  <c r="F399" i="1"/>
  <c r="G399" i="1"/>
  <c r="I399" i="1"/>
  <c r="F400" i="1"/>
  <c r="G400" i="1"/>
  <c r="H635" i="1"/>
  <c r="G635" i="1"/>
  <c r="J635" i="1"/>
  <c r="I400" i="1"/>
  <c r="L405" i="1"/>
  <c r="L406" i="1"/>
  <c r="L407" i="1"/>
  <c r="L408" i="1"/>
  <c r="L409" i="1"/>
  <c r="L410" i="1"/>
  <c r="F411" i="1"/>
  <c r="G411" i="1"/>
  <c r="H411" i="1"/>
  <c r="I411" i="1"/>
  <c r="J411" i="1"/>
  <c r="L411" i="1"/>
  <c r="L413" i="1"/>
  <c r="L414" i="1"/>
  <c r="L415" i="1"/>
  <c r="L416" i="1"/>
  <c r="L417" i="1"/>
  <c r="L418" i="1"/>
  <c r="F419" i="1"/>
  <c r="G419" i="1"/>
  <c r="H419" i="1"/>
  <c r="I419" i="1"/>
  <c r="I425" i="1"/>
  <c r="I426" i="1"/>
  <c r="J419" i="1"/>
  <c r="L419" i="1"/>
  <c r="L421" i="1"/>
  <c r="L422" i="1"/>
  <c r="L423" i="1"/>
  <c r="L424" i="1"/>
  <c r="F425" i="1"/>
  <c r="G425" i="1"/>
  <c r="H425" i="1"/>
  <c r="J425" i="1"/>
  <c r="L425" i="1"/>
  <c r="F426" i="1"/>
  <c r="G426" i="1"/>
  <c r="H426" i="1"/>
  <c r="J426" i="1"/>
  <c r="L426" i="1"/>
  <c r="F438" i="1"/>
  <c r="G438" i="1"/>
  <c r="G630" i="1"/>
  <c r="H438" i="1"/>
  <c r="F444" i="1"/>
  <c r="G444" i="1"/>
  <c r="G450" i="1"/>
  <c r="G451" i="1"/>
  <c r="H630" i="1"/>
  <c r="H444" i="1"/>
  <c r="F450" i="1"/>
  <c r="H450" i="1"/>
  <c r="F451" i="1"/>
  <c r="H451" i="1"/>
  <c r="F460" i="1"/>
  <c r="G460" i="1"/>
  <c r="G464" i="1"/>
  <c r="G466" i="1"/>
  <c r="H613" i="1"/>
  <c r="H460" i="1"/>
  <c r="J460" i="1"/>
  <c r="F464" i="1"/>
  <c r="H464" i="1"/>
  <c r="J464" i="1"/>
  <c r="K485" i="1"/>
  <c r="K486" i="1"/>
  <c r="K487" i="1"/>
  <c r="K488" i="1"/>
  <c r="K489" i="1"/>
  <c r="K490" i="1"/>
  <c r="K491" i="1"/>
  <c r="K492" i="1"/>
  <c r="K493" i="1"/>
  <c r="F507" i="1"/>
  <c r="G507" i="1"/>
  <c r="H507" i="1"/>
  <c r="I507" i="1"/>
  <c r="F514" i="1"/>
  <c r="F519" i="1"/>
  <c r="F524" i="1"/>
  <c r="F529" i="1"/>
  <c r="F534" i="1"/>
  <c r="F535" i="1"/>
  <c r="G514" i="1"/>
  <c r="G519" i="1"/>
  <c r="G524" i="1"/>
  <c r="G529" i="1"/>
  <c r="G534" i="1"/>
  <c r="G535" i="1"/>
  <c r="H514" i="1"/>
  <c r="H519" i="1"/>
  <c r="H524" i="1"/>
  <c r="H529" i="1"/>
  <c r="H534" i="1"/>
  <c r="H535" i="1"/>
  <c r="I514" i="1"/>
  <c r="I519" i="1"/>
  <c r="I524" i="1"/>
  <c r="I529" i="1"/>
  <c r="I534" i="1"/>
  <c r="I535" i="1"/>
  <c r="J514" i="1"/>
  <c r="J519" i="1"/>
  <c r="J524" i="1"/>
  <c r="J529" i="1"/>
  <c r="J534" i="1"/>
  <c r="J535" i="1"/>
  <c r="K514" i="1"/>
  <c r="K519" i="1"/>
  <c r="K524" i="1"/>
  <c r="K529" i="1"/>
  <c r="K534" i="1"/>
  <c r="K535" i="1"/>
  <c r="L524" i="1"/>
  <c r="L547" i="1"/>
  <c r="L548" i="1"/>
  <c r="L549" i="1"/>
  <c r="F550" i="1"/>
  <c r="G550" i="1"/>
  <c r="H550" i="1"/>
  <c r="I550" i="1"/>
  <c r="J550" i="1"/>
  <c r="K550" i="1"/>
  <c r="L550" i="1"/>
  <c r="L552" i="1"/>
  <c r="L553" i="1"/>
  <c r="L554" i="1"/>
  <c r="L555" i="1"/>
  <c r="L557" i="1"/>
  <c r="L558" i="1"/>
  <c r="L559" i="1"/>
  <c r="L560" i="1"/>
  <c r="L561" i="1"/>
  <c r="F555" i="1"/>
  <c r="F560" i="1"/>
  <c r="F561" i="1"/>
  <c r="G555" i="1"/>
  <c r="G560" i="1"/>
  <c r="G561" i="1"/>
  <c r="H555" i="1"/>
  <c r="H560" i="1"/>
  <c r="H561" i="1"/>
  <c r="I555" i="1"/>
  <c r="J555" i="1"/>
  <c r="J560" i="1"/>
  <c r="J561" i="1"/>
  <c r="K555" i="1"/>
  <c r="K560" i="1"/>
  <c r="K561" i="1"/>
  <c r="I560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/>
  <c r="G639" i="1"/>
  <c r="J639" i="1"/>
  <c r="I588" i="1"/>
  <c r="H640" i="1"/>
  <c r="G640" i="1"/>
  <c r="J640" i="1"/>
  <c r="J588" i="1"/>
  <c r="K592" i="1"/>
  <c r="K593" i="1"/>
  <c r="K594" i="1"/>
  <c r="H595" i="1"/>
  <c r="I595" i="1"/>
  <c r="J595" i="1"/>
  <c r="F604" i="1"/>
  <c r="G604" i="1"/>
  <c r="H604" i="1"/>
  <c r="I604" i="1"/>
  <c r="J604" i="1"/>
  <c r="K604" i="1"/>
  <c r="H617" i="1"/>
  <c r="H618" i="1"/>
  <c r="H619" i="1"/>
  <c r="H620" i="1"/>
  <c r="H621" i="1"/>
  <c r="H622" i="1"/>
  <c r="H623" i="1"/>
  <c r="H625" i="1"/>
  <c r="L354" i="1"/>
  <c r="G625" i="1"/>
  <c r="J625" i="1"/>
  <c r="G626" i="1"/>
  <c r="H626" i="1"/>
  <c r="J626" i="1"/>
  <c r="H627" i="1"/>
  <c r="G628" i="1"/>
  <c r="H628" i="1"/>
  <c r="J628" i="1"/>
  <c r="G629" i="1"/>
  <c r="H629" i="1"/>
  <c r="J629" i="1"/>
  <c r="G631" i="1"/>
  <c r="H631" i="1"/>
  <c r="J631" i="1"/>
  <c r="G633" i="1"/>
  <c r="H633" i="1"/>
  <c r="J633" i="1"/>
  <c r="G641" i="1"/>
  <c r="H641" i="1"/>
  <c r="J641" i="1"/>
  <c r="G642" i="1"/>
  <c r="H642" i="1"/>
  <c r="J642" i="1"/>
  <c r="G643" i="1"/>
  <c r="H643" i="1"/>
  <c r="J643" i="1"/>
  <c r="G644" i="1"/>
  <c r="H644" i="1"/>
  <c r="J644" i="1"/>
  <c r="G645" i="1"/>
  <c r="H645" i="1"/>
  <c r="J645" i="1"/>
  <c r="G37" i="2"/>
  <c r="G22" i="2"/>
  <c r="C22" i="13"/>
  <c r="E13" i="13"/>
  <c r="C13" i="13"/>
  <c r="C111" i="2"/>
  <c r="C16" i="10"/>
  <c r="C25" i="10"/>
  <c r="C32" i="10"/>
  <c r="H25" i="13"/>
  <c r="C25" i="13"/>
  <c r="F466" i="1"/>
  <c r="H612" i="1"/>
  <c r="H542" i="1"/>
  <c r="H330" i="1"/>
  <c r="H344" i="1"/>
  <c r="F77" i="2"/>
  <c r="E77" i="2"/>
  <c r="E83" i="2"/>
  <c r="D48" i="2"/>
  <c r="C101" i="2"/>
  <c r="C115" i="2"/>
  <c r="C112" i="2"/>
  <c r="E8" i="13"/>
  <c r="C8" i="13"/>
  <c r="D6" i="13"/>
  <c r="C6" i="13"/>
  <c r="C110" i="2"/>
  <c r="C16" i="13"/>
  <c r="H637" i="1"/>
  <c r="D15" i="13"/>
  <c r="C15" i="13"/>
  <c r="C113" i="2"/>
  <c r="C104" i="2"/>
  <c r="C103" i="2"/>
  <c r="D5" i="13"/>
  <c r="C5" i="13"/>
  <c r="C102" i="2"/>
  <c r="C120" i="2"/>
  <c r="C107" i="2"/>
  <c r="K263" i="1"/>
  <c r="J622" i="1"/>
  <c r="H33" i="13"/>
  <c r="C21" i="10"/>
  <c r="C20" i="10"/>
  <c r="H638" i="1"/>
  <c r="C11" i="10"/>
  <c r="A31" i="12"/>
  <c r="G330" i="1"/>
  <c r="G344" i="1"/>
  <c r="C18" i="10"/>
  <c r="D31" i="13"/>
  <c r="L330" i="1"/>
  <c r="L344" i="1"/>
  <c r="G623" i="1"/>
  <c r="K330" i="1"/>
  <c r="K344" i="1"/>
  <c r="E137" i="2"/>
  <c r="J623" i="1"/>
  <c r="C31" i="13"/>
  <c r="H654" i="1"/>
  <c r="J624" i="1"/>
  <c r="D29" i="13"/>
  <c r="C29" i="13"/>
  <c r="D119" i="2"/>
  <c r="D120" i="2"/>
  <c r="D137" i="2"/>
  <c r="C27" i="10"/>
  <c r="D33" i="13"/>
  <c r="D36" i="13"/>
  <c r="J466" i="1"/>
  <c r="H616" i="1"/>
  <c r="H466" i="1"/>
  <c r="H614" i="1"/>
  <c r="L534" i="1"/>
  <c r="J542" i="1"/>
  <c r="I542" i="1"/>
  <c r="L529" i="1"/>
  <c r="L514" i="1"/>
  <c r="G542" i="1"/>
  <c r="K540" i="1"/>
  <c r="L519" i="1"/>
  <c r="K539" i="1"/>
  <c r="F542" i="1"/>
  <c r="L535" i="1"/>
  <c r="K542" i="1"/>
  <c r="G657" i="1"/>
  <c r="L604" i="1"/>
  <c r="K595" i="1"/>
  <c r="G638" i="1"/>
  <c r="J638" i="1"/>
  <c r="K588" i="1"/>
  <c r="G637" i="1"/>
  <c r="J637" i="1"/>
  <c r="E33" i="13"/>
  <c r="D35" i="13"/>
  <c r="J185" i="1"/>
  <c r="G636" i="1"/>
  <c r="G48" i="2"/>
  <c r="G55" i="2"/>
  <c r="G96" i="2"/>
  <c r="F83" i="2"/>
  <c r="F73" i="2"/>
  <c r="I185" i="1"/>
  <c r="G620" i="1"/>
  <c r="J620" i="1"/>
  <c r="F55" i="2"/>
  <c r="E95" i="2"/>
  <c r="E73" i="2"/>
  <c r="E54" i="2"/>
  <c r="E55" i="2"/>
  <c r="H104" i="1"/>
  <c r="H185" i="1"/>
  <c r="G619" i="1"/>
  <c r="J619" i="1"/>
  <c r="D95" i="2"/>
  <c r="D77" i="2"/>
  <c r="D83" i="2"/>
  <c r="C39" i="10"/>
  <c r="C38" i="10"/>
  <c r="G185" i="1"/>
  <c r="G618" i="1"/>
  <c r="J618" i="1"/>
  <c r="F657" i="1"/>
  <c r="H657" i="1"/>
  <c r="H662" i="1"/>
  <c r="C28" i="10"/>
  <c r="D27" i="10"/>
  <c r="D55" i="2"/>
  <c r="F184" i="1"/>
  <c r="C95" i="2"/>
  <c r="C83" i="2"/>
  <c r="C54" i="2"/>
  <c r="C48" i="2"/>
  <c r="F104" i="1"/>
  <c r="G621" i="1"/>
  <c r="J621" i="1"/>
  <c r="F96" i="2"/>
  <c r="E96" i="2"/>
  <c r="D96" i="2"/>
  <c r="I657" i="1"/>
  <c r="C30" i="10"/>
  <c r="D22" i="10"/>
  <c r="D16" i="10"/>
  <c r="D25" i="10"/>
  <c r="D12" i="10"/>
  <c r="D17" i="10"/>
  <c r="D10" i="10"/>
  <c r="D13" i="10"/>
  <c r="D18" i="10"/>
  <c r="D26" i="10"/>
  <c r="D11" i="10"/>
  <c r="D24" i="10"/>
  <c r="D20" i="10"/>
  <c r="D21" i="10"/>
  <c r="D23" i="10"/>
  <c r="D19" i="10"/>
  <c r="D15" i="10"/>
  <c r="F185" i="1"/>
  <c r="G617" i="1"/>
  <c r="J617" i="1"/>
  <c r="C55" i="2"/>
  <c r="C96" i="2"/>
  <c r="C36" i="10"/>
  <c r="C41" i="10"/>
  <c r="D37" i="10"/>
  <c r="D28" i="10"/>
  <c r="D39" i="10"/>
  <c r="D35" i="10"/>
  <c r="D38" i="10"/>
  <c r="D40" i="10"/>
  <c r="D36" i="10"/>
  <c r="D41" i="10"/>
  <c r="G40" i="2"/>
  <c r="G42" i="2"/>
  <c r="J43" i="1"/>
  <c r="G616" i="1"/>
  <c r="I450" i="1"/>
  <c r="I451" i="1"/>
  <c r="H632" i="1"/>
  <c r="J630" i="1"/>
  <c r="J24" i="1"/>
  <c r="J19" i="1"/>
  <c r="G611" i="1"/>
  <c r="G9" i="2"/>
  <c r="G19" i="2"/>
  <c r="I438" i="1"/>
  <c r="G632" i="1"/>
  <c r="J632" i="1"/>
  <c r="G23" i="2"/>
  <c r="G32" i="2"/>
  <c r="G43" i="2"/>
  <c r="J33" i="1"/>
  <c r="J44" i="1"/>
  <c r="H611" i="1"/>
  <c r="J611" i="1"/>
  <c r="J616" i="1"/>
  <c r="L400" i="1"/>
  <c r="G627" i="1"/>
  <c r="C131" i="2"/>
  <c r="H636" i="1"/>
  <c r="J636" i="1"/>
  <c r="J627" i="1"/>
  <c r="C133" i="2"/>
  <c r="C136" i="2"/>
  <c r="C137" i="2"/>
  <c r="F32" i="2"/>
  <c r="F43" i="2"/>
  <c r="J610" i="1"/>
  <c r="F19" i="2"/>
  <c r="F44" i="1"/>
  <c r="H607" i="1"/>
  <c r="J607" i="1"/>
  <c r="C19" i="2"/>
  <c r="J612" i="1"/>
  <c r="G613" i="1"/>
  <c r="J613" i="1"/>
  <c r="G614" i="1"/>
  <c r="J614" i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D88FD306-5E75-4950-B074-B7C4D118C7CB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FA60CD1-85E3-4D16-AF7B-ECF4AA7F0FA9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BE536D41-F8BF-41BA-9860-CF453411925C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529572B9-7C4E-4B20-9DB2-B9F2B9766317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660E18EC-03E0-45E7-8C50-21762826FC01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433050C-9274-4D76-8857-9487EC8E37C5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3FA97A14-4FE0-4447-8277-5E321C1A7CE5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180876BE-F858-4BB6-BD7F-8852824330AC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F601B839-6323-4D4C-9D99-5FF8844EF6E8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7F523A89-BDF4-46FF-9BF8-EA7001A158B2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FD3AFD42-ACCC-4D6E-9745-AC632996E897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6D73064-624B-4BD0-A8F1-B07EB16E9576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<sst xmlns="http://schemas.openxmlformats.org/spreadsheetml/2006/main" count="3862" uniqueCount="899">
  <si>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</si>
  <si>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</si>
  <si>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</si>
  <si>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</si>
  <si>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</si>
  <si>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</si>
  <si>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</si>
  <si>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</si>
  <si>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</si>
  <si>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</si>
  <si>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</si>
  <si>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</si>
  <si>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</si>
  <si>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</si>
  <si>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</si>
  <si>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</si>
  <si>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</si>
  <si>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</si>
  <si>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</si>
  <si>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</si>
  <si>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</si>
  <si>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</si>
  <si>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</si>
  <si>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</si>
  <si>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</si>
  <si>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</si>
  <si>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</si>
  <si>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</si>
  <si>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</si>
  <si>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</si>
  <si>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</si>
  <si>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</si>
  <si>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</si>
  <si>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</si>
  <si>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</si>
  <si>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</si>
  <si>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</si>
  <si>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</si>
  <si>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</si>
  <si>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</si>
  <si>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</si>
  <si>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</si>
  <si>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</si>
  <si>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</si>
  <si>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</si>
  <si>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</si>
  <si>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</si>
  <si>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</si>
  <si>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</si>
  <si>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</si>
  <si>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</si>
  <si>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</si>
  <si>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</si>
  <si>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</si>
  <si>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</si>
  <si>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</si>
  <si>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</si>
  <si>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</si>
  <si>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</si>
  <si>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</si>
  <si>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</si>
  <si>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</si>
  <si>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</si>
  <si>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</si>
  <si>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</si>
  <si>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</si>
  <si>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</si>
  <si>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</si>
  <si>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</si>
  <si>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</si>
  <si>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</si>
  <si>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</si>
  <si>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</si>
  <si>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</si>
  <si>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</si>
  <si>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</si>
  <si>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</si>
  <si>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</si>
  <si>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</si>
  <si>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</si>
  <si>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</si>
  <si>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</si>
  <si>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</si>
  <si>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</si>
  <si>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</si>
  <si>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</si>
  <si>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</si>
  <si>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</si>
  <si>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</si>
  <si>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</si>
  <si>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</si>
  <si>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</si>
  <si>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</si>
  <si>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</si>
  <si>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</si>
  <si>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</si>
  <si>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</si>
  <si>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</si>
  <si>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</si>
  <si>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</si>
  <si>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</si>
  <si>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</si>
  <si>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</si>
  <si>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</si>
  <si>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</si>
  <si>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</si>
  <si>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</si>
  <si>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</si>
  <si>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</si>
  <si>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</si>
  <si>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</si>
  <si>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</si>
  <si>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</si>
  <si>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</si>
  <si>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</si>
  <si>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</si>
  <si>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</si>
  <si>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</si>
  <si>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</si>
  <si>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</si>
  <si>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</si>
  <si>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</si>
  <si>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</si>
  <si>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</si>
  <si>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</si>
  <si>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</si>
  <si>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</si>
  <si>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</si>
  <si>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</si>
  <si>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</si>
  <si>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</si>
  <si>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</si>
  <si>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</si>
  <si>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</si>
  <si>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</si>
  <si>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</si>
  <si>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</si>
  <si>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</si>
  <si>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</si>
  <si>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</si>
  <si>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</si>
  <si>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</si>
  <si>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</si>
  <si>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</si>
  <si>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</si>
  <si>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</si>
  <si>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</si>
  <si>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</si>
  <si>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</si>
  <si>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</si>
  <si>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</si>
  <si>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</si>
  <si>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</si>
  <si>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</si>
  <si>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</si>
  <si>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</si>
  <si>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</si>
  <si>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</si>
  <si>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</si>
  <si>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</si>
  <si>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</si>
  <si>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</si>
  <si>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</si>
  <si>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</si>
  <si>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</si>
  <si>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</si>
  <si>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</si>
  <si>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</si>
  <si>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</si>
  <si>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</si>
  <si>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</si>
  <si>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</si>
  <si>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</si>
  <si>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</si>
  <si>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</si>
  <si>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</si>
  <si>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</si>
  <si>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</si>
  <si>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</si>
  <si>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</si>
  <si>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</si>
  <si>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</si>
  <si>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</si>
  <si>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</si>
  <si>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</si>
  <si>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</si>
  <si>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</si>
  <si>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</si>
  <si>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</si>
  <si>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</si>
  <si>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</si>
  <si>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</si>
  <si>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</si>
  <si>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</si>
  <si>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</si>
  <si>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</si>
  <si>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</si>
  <si>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</si>
  <si>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</si>
  <si>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</si>
  <si>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</si>
  <si>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</si>
  <si>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</si>
  <si>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</si>
  <si>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</si>
  <si>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</si>
  <si>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</si>
  <si>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</si>
  <si>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</si>
  <si>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</si>
  <si>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</si>
  <si>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</si>
  <si>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</si>
  <si>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</si>
  <si>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</si>
  <si>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</si>
  <si>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</si>
  <si>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</si>
  <si>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</si>
  <si>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</si>
  <si>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</si>
  <si>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</si>
  <si>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</si>
  <si>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</si>
  <si>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</si>
  <si>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</si>
  <si>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</si>
  <si>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</si>
  <si>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</si>
  <si>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</si>
  <si>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</si>
  <si>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</si>
  <si>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</si>
  <si>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</si>
  <si>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</si>
  <si>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</si>
  <si>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</si>
  <si>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</si>
  <si>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</si>
  <si>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</si>
  <si>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</si>
  <si>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</si>
  <si>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</si>
  <si>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</si>
  <si>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</si>
  <si>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</si>
  <si>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</si>
  <si>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</si>
  <si>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</si>
  <si>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</si>
  <si>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</si>
  <si>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</si>
  <si>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</si>
  <si>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</si>
  <si>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</si>
  <si>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</si>
  <si>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</si>
  <si>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</si>
  <si>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</si>
  <si>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</si>
  <si>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</si>
  <si>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</si>
  <si>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</si>
  <si>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</si>
  <si>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</si>
  <si>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</si>
  <si>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</si>
  <si>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</si>
  <si>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</si>
  <si>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</si>
  <si>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</si>
  <si>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</si>
  <si>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</si>
  <si>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</si>
  <si>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</si>
  <si>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</si>
  <si>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</si>
  <si>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</si>
  <si>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</si>
  <si>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</si>
  <si>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</si>
  <si>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</si>
  <si>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</si>
  <si>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</si>
  <si>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</si>
  <si>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</si>
  <si>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</si>
  <si>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</si>
  <si>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</si>
  <si>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</si>
  <si>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</si>
  <si>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</si>
  <si>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</si>
  <si>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</si>
  <si>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</si>
  <si>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</si>
  <si>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</si>
  <si>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</si>
  <si>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</si>
  <si>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</si>
  <si>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</si>
  <si>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</si>
  <si>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</si>
  <si>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</si>
  <si>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</si>
  <si>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</si>
  <si>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</si>
  <si>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</si>
  <si>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</si>
  <si>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</si>
  <si>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</si>
  <si>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</si>
  <si>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</si>
  <si>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</si>
  <si>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</si>
  <si>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</si>
  <si>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</si>
  <si>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</si>
  <si>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</si>
  <si>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</si>
  <si>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</si>
  <si>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</si>
  <si>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</si>
  <si>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</si>
  <si>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</si>
  <si>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</si>
  <si>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</si>
  <si>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</si>
  <si>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</si>
  <si>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</si>
  <si>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</si>
  <si>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</si>
  <si>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</si>
  <si>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</si>
  <si>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</si>
  <si>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</si>
  <si>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</si>
  <si>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</si>
  <si>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</si>
  <si>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</si>
  <si>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</si>
  <si>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</si>
  <si>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</si>
  <si>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</si>
  <si>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</si>
  <si>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</si>
  <si>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</si>
  <si>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</si>
  <si>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</si>
  <si>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</si>
  <si>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</si>
  <si>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</si>
  <si>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</si>
  <si>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</si>
  <si>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</si>
  <si>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</si>
  <si>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</si>
  <si>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</si>
  <si>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</si>
  <si>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</si>
  <si>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</si>
  <si>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</si>
  <si>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</si>
  <si>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</si>
  <si>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</si>
  <si>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</si>
  <si>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</si>
  <si>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</si>
  <si>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</si>
  <si>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</si>
  <si>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</si>
  <si>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</si>
  <si>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</si>
  <si>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</si>
  <si>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</si>
  <si>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</si>
  <si>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</si>
  <si>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</si>
  <si>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</si>
  <si>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</si>
  <si>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</si>
  <si>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</si>
  <si>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</si>
  <si>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</si>
  <si>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</si>
  <si>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</si>
  <si>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</si>
  <si>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</si>
  <si>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</si>
  <si>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</si>
  <si>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</si>
  <si>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</si>
  <si>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</si>
  <si>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</si>
  <si>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</si>
  <si>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</si>
  <si>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</si>
  <si>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</si>
  <si>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</si>
  <si>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</si>
  <si>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</si>
  <si>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</si>
  <si>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</si>
  <si>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</si>
  <si>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</si>
  <si>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</si>
  <si>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</si>
  <si>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</si>
  <si>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</si>
  <si>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</si>
  <si>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</si>
  <si>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</si>
  <si>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</si>
  <si>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</si>
  <si>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</si>
  <si>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</si>
  <si>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</si>
  <si>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</si>
  <si>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</si>
  <si>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</si>
  <si>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</si>
  <si>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</si>
  <si>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</si>
  <si>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</si>
  <si>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</si>
  <si>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</si>
  <si>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</si>
  <si>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</si>
  <si>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</si>
  <si>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</si>
  <si>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</si>
  <si>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</si>
  <si>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</si>
  <si>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</si>
  <si>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</si>
  <si>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</si>
  <si>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</si>
  <si>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</si>
  <si>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</si>
  <si>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</si>
  <si>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</si>
  <si>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</si>
  <si>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</si>
  <si>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</si>
  <si>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</si>
  <si>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</si>
  <si>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</si>
  <si>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</si>
  <si>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</si>
  <si>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</si>
  <si>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</si>
  <si>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</si>
  <si>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</si>
  <si>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</si>
  <si>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</si>
  <si>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</si>
  <si>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</si>
  <si>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</si>
  <si>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</si>
  <si>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</si>
  <si>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</si>
  <si>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</si>
  <si>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</si>
  <si>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</si>
  <si>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</si>
  <si>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</si>
  <si>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</si>
  <si>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</si>
  <si>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</si>
  <si>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</si>
  <si>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</si>
  <si>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</si>
  <si>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</si>
  <si>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</si>
  <si>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</si>
  <si>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</si>
  <si>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</si>
  <si>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</si>
  <si>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</si>
  <si>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</si>
  <si>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</si>
  <si>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</si>
  <si>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</si>
  <si>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</si>
  <si>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</si>
  <si>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</si>
  <si>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</si>
  <si>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</si>
  <si>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</si>
  <si>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</si>
  <si>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</si>
  <si>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</si>
  <si>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</si>
  <si>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</si>
  <si>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</si>
  <si>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</si>
  <si>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</si>
  <si>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</si>
  <si>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</si>
  <si>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</si>
  <si>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</si>
  <si>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</si>
  <si>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</si>
  <si>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</si>
  <si>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</si>
  <si>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</si>
  <si>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</si>
  <si>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</si>
  <si>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</si>
  <si>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</si>
  <si>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</si>
  <si>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</si>
  <si>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</si>
  <si>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</si>
  <si>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</si>
  <si>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</si>
  <si>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</si>
  <si>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</si>
  <si>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</si>
  <si>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</si>
  <si>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</si>
  <si>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</si>
  <si>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</si>
  <si>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</si>
  <si>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</si>
  <si>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</si>
  <si>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</si>
  <si>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</si>
  <si>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</si>
  <si>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</si>
  <si>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</si>
  <si>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</si>
  <si>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</si>
  <si>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</si>
  <si>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</si>
  <si>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</si>
  <si>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</si>
  <si>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</si>
  <si>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</si>
  <si>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</si>
  <si>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</si>
  <si>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</si>
  <si>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</si>
  <si>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</si>
  <si>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</si>
  <si>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</si>
  <si>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</si>
  <si>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</si>
  <si>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</si>
  <si>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</si>
  <si>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</si>
  <si>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</si>
  <si>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</si>
  <si>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</si>
  <si>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</si>
  <si>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</si>
  <si>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</si>
  <si>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</si>
  <si>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</si>
  <si>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</si>
  <si>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</si>
  <si>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</si>
  <si>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</si>
  <si>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</si>
  <si>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</si>
  <si>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</si>
  <si>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</si>
  <si>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</si>
  <si>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</si>
  <si>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</si>
  <si>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</si>
  <si>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</si>
  <si>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</si>
  <si>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</si>
  <si>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</si>
  <si>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</si>
  <si>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</si>
  <si>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</si>
  <si>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</si>
  <si>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</si>
  <si>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</si>
  <si>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</si>
  <si>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</si>
  <si>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</si>
  <si>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</si>
  <si>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</si>
  <si>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</si>
  <si>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</si>
  <si>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</si>
  <si>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</si>
  <si>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</si>
  <si>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</si>
  <si>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</si>
  <si>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</si>
  <si>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</si>
  <si>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</si>
  <si>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</si>
  <si>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</si>
  <si>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</si>
  <si>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</si>
  <si>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</si>
  <si>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</si>
  <si>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</si>
  <si>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</si>
  <si>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</si>
  <si>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</si>
  <si>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</si>
  <si>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</si>
  <si>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</si>
  <si>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</si>
  <si>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</si>
  <si>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</si>
  <si>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</si>
  <si>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</si>
  <si>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</si>
  <si>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</si>
  <si>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</si>
  <si>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</si>
  <si>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</si>
  <si>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</si>
  <si>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</si>
  <si>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</si>
  <si>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</si>
  <si>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</si>
  <si>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</si>
  <si>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</si>
  <si>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</si>
  <si>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</si>
  <si>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</si>
  <si>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</si>
  <si>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</si>
  <si>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</si>
  <si>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</si>
  <si>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</si>
  <si>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</si>
  <si>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</si>
  <si>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</si>
  <si>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</si>
  <si>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</si>
  <si>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</si>
  <si>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</si>
  <si>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</si>
  <si>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</si>
  <si>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</si>
  <si>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</si>
  <si>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</si>
  <si>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</si>
  <si>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</si>
  <si>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</si>
  <si>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</si>
  <si>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</si>
  <si>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</si>
  <si>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</si>
  <si>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</si>
  <si>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</si>
  <si>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</si>
  <si>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</si>
  <si>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</si>
  <si>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</si>
  <si>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</si>
  <si>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</si>
  <si>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</si>
  <si>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</si>
  <si>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</si>
  <si>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</si>
  <si>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</si>
  <si>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</si>
  <si>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</si>
  <si>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</si>
  <si>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</si>
  <si>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</si>
  <si>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</si>
  <si>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</si>
  <si>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</si>
  <si>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</si>
  <si>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</si>
  <si>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</si>
  <si>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</si>
  <si>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</si>
  <si>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</si>
  <si>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</si>
  <si>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</si>
  <si>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</si>
  <si>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</si>
  <si>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</si>
  <si>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</si>
  <si>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</si>
  <si>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</si>
  <si>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</si>
  <si>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</si>
  <si>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</si>
  <si>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</si>
  <si>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</si>
  <si>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</si>
  <si>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</si>
  <si>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</si>
  <si>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</si>
  <si>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</si>
  <si>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</si>
  <si>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</si>
  <si>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</si>
  <si>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</si>
  <si>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</si>
  <si>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</si>
  <si>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</si>
  <si>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</si>
  <si>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</si>
  <si>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</si>
  <si>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</si>
  <si>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</si>
  <si>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</si>
  <si>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</si>
  <si>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</si>
  <si>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</si>
  <si>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</si>
  <si>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</si>
  <si>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</si>
  <si>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</si>
  <si>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</si>
  <si>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</si>
  <si>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</si>
  <si>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</si>
  <si>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</si>
  <si>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</si>
  <si>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</si>
  <si>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</si>
  <si>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</si>
  <si>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</si>
  <si>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</si>
  <si>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</si>
  <si>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</si>
  <si>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</si>
  <si>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</si>
  <si>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</si>
  <si>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</si>
  <si>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</si>
  <si>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</si>
  <si>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</si>
  <si>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</si>
  <si>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</si>
  <si>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</si>
  <si>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</si>
  <si>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</si>
  <si>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</si>
  <si>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</si>
  <si>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</si>
  <si>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</si>
  <si>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</si>
  <si>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</si>
  <si>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</si>
  <si>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</si>
  <si>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</si>
  <si>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</si>
  <si>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</si>
  <si>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</si>
  <si>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</si>
  <si>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</si>
  <si>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</si>
  <si>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</si>
  <si>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</si>
  <si>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</si>
  <si>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</si>
  <si>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</si>
  <si>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</si>
  <si>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</si>
  <si>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</si>
  <si>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</si>
  <si>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</si>
  <si>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</si>
  <si>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</si>
  <si>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</si>
  <si>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</si>
  <si>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</si>
  <si>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</si>
  <si>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</si>
  <si>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</si>
  <si>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</si>
  <si>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</si>
  <si>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</si>
  <si>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</si>
  <si>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</si>
  <si>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</si>
  <si>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</si>
  <si>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</si>
  <si>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</si>
  <si>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</si>
  <si>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</si>
  <si>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</si>
  <si>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</si>
  <si>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</si>
  <si>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</si>
  <si>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</si>
  <si>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</si>
  <si>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</si>
  <si>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</si>
  <si>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</si>
  <si>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</si>
  <si>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</si>
  <si>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</si>
  <si>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</si>
  <si>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</si>
  <si>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</si>
  <si>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</si>
  <si>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</si>
  <si>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</si>
  <si>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</si>
  <si>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</si>
  <si>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</si>
  <si>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</si>
  <si>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</si>
  <si>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</si>
  <si>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</si>
  <si>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</si>
  <si>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</si>
  <si>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</si>
  <si>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</si>
  <si>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</si>
  <si>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</si>
  <si>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</si>
  <si>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</si>
  <si>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</si>
  <si>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</si>
  <si>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</si>
  <si>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</si>
  <si>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</si>
  <si>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</si>
  <si>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</si>
  <si>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</si>
  <si>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</si>
  <si>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</si>
  <si>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</si>
  <si>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</si>
  <si>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</si>
  <si>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</si>
  <si>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</si>
  <si>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</si>
  <si>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</si>
  <si>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</si>
  <si>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</si>
  <si>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</si>
  <si>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</si>
  <si>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</si>
  <si>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</si>
  <si>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</si>
  <si>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</si>
  <si>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</si>
  <si>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</si>
  <si>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</si>
  <si>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</si>
  <si>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</si>
  <si>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</si>
  <si>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</si>
  <si>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</si>
  <si>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</si>
  <si>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</si>
  <si>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</si>
  <si>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</si>
  <si>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</si>
  <si>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</si>
  <si>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</si>
  <si>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</si>
  <si>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</si>
  <si>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</si>
  <si>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</si>
  <si>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</si>
  <si>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</si>
  <si>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</si>
  <si>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</si>
  <si>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</si>
  <si>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</si>
  <si>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</si>
  <si>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</si>
  <si>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</si>
  <si>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</si>
  <si>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</si>
  <si>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</si>
  <si>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</si>
  <si>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</si>
  <si>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</si>
  <si>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</si>
  <si>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</si>
  <si>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</si>
  <si>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</si>
  <si>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</si>
  <si>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</si>
  <si>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</si>
  <si>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</si>
  <si>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</si>
  <si>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</si>
  <si>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</si>
  <si>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</si>
  <si>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</si>
  <si>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</si>
  <si>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</si>
  <si>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6/23/05</t>
  </si>
  <si>
    <t>8/1/25</t>
  </si>
  <si>
    <t>Liab not paid</t>
  </si>
  <si>
    <t>rec'ables not received</t>
  </si>
  <si>
    <t>Weare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</si>
</sst>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D13C-EDA2-44B0-83B9-17B3E6BAB0A4}">
  <sheetPr transitionEvaluation="1" transitionEntry="1" codeName="Sheet1">
    <tabColor indexed="56"/>
  </sheetPr>
  <dimension ref="A1:AQ666"/>
  <sheetViews>
    <sheetView tabSelected="1" zoomScale="90" zoomScaleNormal="90" workbookViewId="0">
      <pane xSplit="5" ySplit="3" topLeftCell="F641" activePane="bottomRight" state="frozen"/>
      <selection pane="topRight" activeCell="F1" sqref="F1"/>
      <selection pane="bottomLeft" activeCell="A4" sqref="A4"/>
      <selection pane="bottomRight" activeCell="G656" sqref="G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555</v>
      </c>
      <c r="C2" s="21">
        <v>555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112012.6</v>
      </c>
      <c r="G9" s="18">
        <v>-7902.91</v>
      </c>
      <c r="H9" s="18">
        <v>-108142.32</v>
      </c>
      <c r="I9" s="18">
        <v>0</v>
      </c>
      <c r="J9" s="67">
        <f>SUM(I431)</f>
        <v>335036.34000000003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83115.899999999994</v>
      </c>
      <c r="G13" s="18">
        <v>18588.89</v>
      </c>
      <c r="H13" s="18">
        <v>116224.07</v>
      </c>
      <c r="I13" s="18">
        <v>0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14630.12</v>
      </c>
      <c r="G14" s="18">
        <v>23907.94</v>
      </c>
      <c r="H14" s="18">
        <v>0</v>
      </c>
      <c r="I14" s="18">
        <v>0</v>
      </c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209758.62</v>
      </c>
      <c r="G19" s="41">
        <f>SUM(G9:G18)</f>
        <v>34593.919999999998</v>
      </c>
      <c r="H19" s="41">
        <f>SUM(H9:H18)</f>
        <v>8081.75</v>
      </c>
      <c r="I19" s="41">
        <f>SUM(I9:I18)</f>
        <v>0</v>
      </c>
      <c r="J19" s="41">
        <f>SUM(J9:J18)</f>
        <v>335036.34000000003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0</v>
      </c>
      <c r="H23" s="18">
        <v>0</v>
      </c>
      <c r="I23" s="18">
        <v>0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0</v>
      </c>
      <c r="G24" s="18">
        <v>0</v>
      </c>
      <c r="H24" s="18">
        <v>35.24</v>
      </c>
      <c r="I24" s="18">
        <v>0</v>
      </c>
      <c r="J24" s="67">
        <f>SUM(I441)</f>
        <v>83115.899999999994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25689.5</v>
      </c>
      <c r="G25" s="18">
        <v>4934.33</v>
      </c>
      <c r="H25" s="18">
        <v>1513.75</v>
      </c>
      <c r="I25" s="18">
        <v>0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21497.5</v>
      </c>
      <c r="G26" s="145">
        <v>0</v>
      </c>
      <c r="H26" s="18">
        <v>0</v>
      </c>
      <c r="I26" s="18">
        <v>0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>
        <v>0</v>
      </c>
      <c r="G27" s="24" t="s">
        <v>312</v>
      </c>
      <c r="H27" s="24" t="s">
        <v>312</v>
      </c>
      <c r="I27" s="18">
        <v>0</v>
      </c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0</v>
      </c>
      <c r="G28" s="24" t="s">
        <v>312</v>
      </c>
      <c r="H28" s="24" t="s">
        <v>312</v>
      </c>
      <c r="I28" s="18">
        <v>0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0</v>
      </c>
      <c r="G29" s="18">
        <v>0</v>
      </c>
      <c r="H29" s="18">
        <v>0</v>
      </c>
      <c r="I29" s="18">
        <v>0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18187.5</v>
      </c>
      <c r="G30" s="18">
        <v>0</v>
      </c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>
        <v>0</v>
      </c>
      <c r="H31" s="18">
        <v>0</v>
      </c>
      <c r="I31" s="18">
        <v>0</v>
      </c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0</v>
      </c>
      <c r="G32" s="18">
        <v>0</v>
      </c>
      <c r="H32" s="18">
        <v>0</v>
      </c>
      <c r="I32" s="18">
        <v>0</v>
      </c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65374.5</v>
      </c>
      <c r="G33" s="41">
        <f>SUM(G23:G32)</f>
        <v>4934.33</v>
      </c>
      <c r="H33" s="41">
        <f>SUM(H23:H32)</f>
        <v>1548.99</v>
      </c>
      <c r="I33" s="41">
        <f>SUM(I23:I32)</f>
        <v>0</v>
      </c>
      <c r="J33" s="41">
        <f>SUM(J23:J32)</f>
        <v>83115.899999999994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>
        <v>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0</v>
      </c>
      <c r="G38" s="18">
        <v>0</v>
      </c>
      <c r="H38" s="18">
        <v>0</v>
      </c>
      <c r="I38" s="18">
        <v>0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0</v>
      </c>
      <c r="G39" s="18">
        <v>0</v>
      </c>
      <c r="H39" s="18">
        <v>0</v>
      </c>
      <c r="I39" s="18">
        <v>0</v>
      </c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75000</v>
      </c>
      <c r="G41" s="18">
        <v>29659.59</v>
      </c>
      <c r="H41" s="18">
        <v>6532.76</v>
      </c>
      <c r="I41" s="18">
        <v>0</v>
      </c>
      <c r="J41" s="13">
        <f>SUM(I449)</f>
        <v>251920.44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69384.12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144384.12</v>
      </c>
      <c r="G43" s="41">
        <f>SUM(G35:G42)</f>
        <v>29659.59</v>
      </c>
      <c r="H43" s="41">
        <f>SUM(H35:H42)</f>
        <v>6532.76</v>
      </c>
      <c r="I43" s="41">
        <f>SUM(I35:I42)</f>
        <v>0</v>
      </c>
      <c r="J43" s="41">
        <f>SUM(J35:J42)</f>
        <v>251920.44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209758.62</v>
      </c>
      <c r="G44" s="41">
        <f>G43+G33</f>
        <v>34593.919999999998</v>
      </c>
      <c r="H44" s="41">
        <f>H43+H33</f>
        <v>8081.75</v>
      </c>
      <c r="I44" s="41">
        <f>I43+I33</f>
        <v>0</v>
      </c>
      <c r="J44" s="41">
        <f>J43+J33</f>
        <v>335036.33999999997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5384173</v>
      </c>
      <c r="G49" s="18">
        <v>0</v>
      </c>
      <c r="H49" s="18">
        <v>0</v>
      </c>
      <c r="I49" s="18">
        <v>0</v>
      </c>
      <c r="J49" s="18">
        <v>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>
        <v>0</v>
      </c>
      <c r="H50" s="24" t="s">
        <v>312</v>
      </c>
      <c r="I50" s="18">
        <v>0</v>
      </c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>
        <v>0</v>
      </c>
      <c r="H51" s="18">
        <v>0</v>
      </c>
      <c r="I51" s="18">
        <v>0</v>
      </c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5384173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21325</v>
      </c>
      <c r="G55" s="24" t="s">
        <v>312</v>
      </c>
      <c r="H55" s="18">
        <v>0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200</v>
      </c>
      <c r="G56" s="24" t="s">
        <v>312</v>
      </c>
      <c r="H56" s="18">
        <v>0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0</v>
      </c>
      <c r="G57" s="24" t="s">
        <v>312</v>
      </c>
      <c r="H57" s="18">
        <v>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0</v>
      </c>
      <c r="G58" s="24" t="s">
        <v>312</v>
      </c>
      <c r="H58" s="18">
        <v>0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>
        <v>0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>
        <v>0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>
        <v>0</v>
      </c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>
        <v>0</v>
      </c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7721.67</v>
      </c>
      <c r="G65" s="24" t="s">
        <v>312</v>
      </c>
      <c r="H65" s="18">
        <v>0</v>
      </c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v>0</v>
      </c>
      <c r="G66" s="24" t="s">
        <v>312</v>
      </c>
      <c r="H66" s="18">
        <v>0</v>
      </c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0</v>
      </c>
      <c r="G68" s="24" t="s">
        <v>312</v>
      </c>
      <c r="H68" s="18">
        <v>0</v>
      </c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0</v>
      </c>
      <c r="G69" s="24" t="s">
        <v>312</v>
      </c>
      <c r="H69" s="18">
        <v>0</v>
      </c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0</v>
      </c>
      <c r="G70" s="24" t="s">
        <v>312</v>
      </c>
      <c r="H70" s="18">
        <v>41362.5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29246.67</v>
      </c>
      <c r="G71" s="45" t="s">
        <v>312</v>
      </c>
      <c r="H71" s="41">
        <f>SUM(H55:H70)</f>
        <v>41362.5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0</v>
      </c>
      <c r="G75" s="24" t="s">
        <v>312</v>
      </c>
      <c r="H75" s="18">
        <v>0</v>
      </c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0</v>
      </c>
      <c r="G76" s="24" t="s">
        <v>312</v>
      </c>
      <c r="H76" s="18">
        <v>0</v>
      </c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55834</v>
      </c>
      <c r="G78" s="24" t="s">
        <v>312</v>
      </c>
      <c r="H78" s="18">
        <v>0</v>
      </c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3044.32</v>
      </c>
      <c r="G79" s="24" t="s">
        <v>312</v>
      </c>
      <c r="H79" s="18">
        <v>0</v>
      </c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>
        <v>0</v>
      </c>
      <c r="G80" s="24" t="s">
        <v>312</v>
      </c>
      <c r="H80" s="18">
        <v>0</v>
      </c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0</v>
      </c>
      <c r="G82" s="24" t="s">
        <v>312</v>
      </c>
      <c r="H82" s="18">
        <v>0</v>
      </c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>
        <v>0</v>
      </c>
      <c r="G83" s="24" t="s">
        <v>312</v>
      </c>
      <c r="H83" s="18">
        <v>0</v>
      </c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>
        <v>0</v>
      </c>
      <c r="G84" s="24" t="s">
        <v>312</v>
      </c>
      <c r="H84" s="18">
        <v>0</v>
      </c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0</v>
      </c>
      <c r="G85" s="24" t="s">
        <v>312</v>
      </c>
      <c r="H85" s="18">
        <v>0</v>
      </c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58878.32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1819.3</v>
      </c>
      <c r="G88" s="18">
        <v>0</v>
      </c>
      <c r="H88" s="18">
        <v>0</v>
      </c>
      <c r="I88" s="18">
        <v>0</v>
      </c>
      <c r="J88" s="18">
        <v>167.36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234707.35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0</v>
      </c>
      <c r="G90" s="24" t="s">
        <v>312</v>
      </c>
      <c r="H90" s="18">
        <v>0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>
        <v>0</v>
      </c>
      <c r="H91" s="18">
        <v>0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267.5</v>
      </c>
      <c r="G93" s="18">
        <v>0</v>
      </c>
      <c r="H93" s="18">
        <v>0</v>
      </c>
      <c r="I93" s="18">
        <v>0</v>
      </c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269.75</v>
      </c>
      <c r="G94" s="18">
        <v>0</v>
      </c>
      <c r="H94" s="18">
        <v>2000</v>
      </c>
      <c r="I94" s="18">
        <v>0</v>
      </c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0</v>
      </c>
      <c r="G95" s="18">
        <v>0</v>
      </c>
      <c r="H95" s="18">
        <v>0</v>
      </c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0</v>
      </c>
      <c r="G96" s="24" t="s">
        <v>312</v>
      </c>
      <c r="H96" s="18">
        <v>0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0</v>
      </c>
      <c r="G97" s="18">
        <v>0</v>
      </c>
      <c r="H97" s="18">
        <v>0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0</v>
      </c>
      <c r="G98" s="18">
        <v>0</v>
      </c>
      <c r="H98" s="18">
        <v>0</v>
      </c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0</v>
      </c>
      <c r="G99" s="18">
        <v>0</v>
      </c>
      <c r="H99" s="18">
        <v>0</v>
      </c>
      <c r="I99" s="18">
        <v>0</v>
      </c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0</v>
      </c>
      <c r="G100" s="18">
        <v>0</v>
      </c>
      <c r="H100" s="18">
        <v>0</v>
      </c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11460.71</v>
      </c>
      <c r="G101" s="18">
        <v>0</v>
      </c>
      <c r="H101" s="18">
        <v>0</v>
      </c>
      <c r="I101" s="18">
        <v>0</v>
      </c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2218.33</v>
      </c>
      <c r="G102" s="18">
        <v>24074.74</v>
      </c>
      <c r="H102" s="18">
        <v>0</v>
      </c>
      <c r="I102" s="18">
        <v>0</v>
      </c>
      <c r="J102" s="18">
        <v>0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16035.589999999998</v>
      </c>
      <c r="G103" s="41">
        <f>SUM(G88:G102)</f>
        <v>258782.09</v>
      </c>
      <c r="H103" s="41">
        <f>SUM(H88:H102)</f>
        <v>2000</v>
      </c>
      <c r="I103" s="41">
        <f>SUM(I88:I102)</f>
        <v>0</v>
      </c>
      <c r="J103" s="41">
        <f>SUM(J88:J102)</f>
        <v>167.36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5488333.5800000001</v>
      </c>
      <c r="G104" s="41">
        <f>G52+G103</f>
        <v>258782.09</v>
      </c>
      <c r="H104" s="41">
        <f>H52+H71+H86+H103</f>
        <v>43362.5</v>
      </c>
      <c r="I104" s="41">
        <f>I52+I103</f>
        <v>0</v>
      </c>
      <c r="J104" s="41">
        <f>J52+J103</f>
        <v>167.36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5135021.2300000004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1161883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186245.77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0</v>
      </c>
      <c r="G112" s="18">
        <v>0</v>
      </c>
      <c r="H112" s="18">
        <v>0</v>
      </c>
      <c r="I112" s="18">
        <v>0</v>
      </c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6483150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385686.4</v>
      </c>
      <c r="G115" s="24" t="s">
        <v>312</v>
      </c>
      <c r="H115" s="24" t="s">
        <v>312</v>
      </c>
      <c r="I115" s="18">
        <v>0</v>
      </c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>
        <v>0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0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>
        <v>0</v>
      </c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0</v>
      </c>
      <c r="G120" s="24" t="s">
        <v>312</v>
      </c>
      <c r="H120" s="18">
        <v>0</v>
      </c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>
        <v>0</v>
      </c>
      <c r="G121" s="24" t="s">
        <v>312</v>
      </c>
      <c r="H121" s="18">
        <v>0</v>
      </c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>
        <v>0</v>
      </c>
      <c r="G122" s="24" t="s">
        <v>312</v>
      </c>
      <c r="H122" s="18">
        <v>0</v>
      </c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>
        <v>0</v>
      </c>
      <c r="G123" s="24" t="s">
        <v>312</v>
      </c>
      <c r="H123" s="18">
        <v>0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4508.8999999999996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0</v>
      </c>
      <c r="G125" s="24" t="s">
        <v>312</v>
      </c>
      <c r="H125" s="18">
        <v>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>
        <v>0</v>
      </c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0</v>
      </c>
      <c r="G127" s="18">
        <v>0</v>
      </c>
      <c r="H127" s="18">
        <v>0</v>
      </c>
      <c r="I127" s="18">
        <v>0</v>
      </c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385686.4</v>
      </c>
      <c r="G128" s="41">
        <f>SUM(G115:G127)</f>
        <v>4508.8999999999996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>
        <v>0</v>
      </c>
      <c r="G129" s="18">
        <v>0</v>
      </c>
      <c r="H129" s="18">
        <v>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>
        <v>0</v>
      </c>
      <c r="G130" s="24" t="s">
        <v>312</v>
      </c>
      <c r="H130" s="18">
        <v>0</v>
      </c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6868836.4000000004</v>
      </c>
      <c r="G132" s="41">
        <f>G113+SUM(G128:G129)</f>
        <v>4508.8999999999996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0</v>
      </c>
      <c r="G137" s="18">
        <v>0</v>
      </c>
      <c r="H137" s="18">
        <v>0</v>
      </c>
      <c r="I137" s="18">
        <v>0</v>
      </c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0</v>
      </c>
      <c r="G138" s="18">
        <v>0</v>
      </c>
      <c r="H138" s="18">
        <v>0</v>
      </c>
      <c r="I138" s="18">
        <v>0</v>
      </c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v>0</v>
      </c>
      <c r="G142" s="24" t="s">
        <v>312</v>
      </c>
      <c r="H142" s="18">
        <v>0</v>
      </c>
      <c r="I142" s="18">
        <v>0</v>
      </c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0</v>
      </c>
      <c r="G143" s="24" t="s">
        <v>312</v>
      </c>
      <c r="H143" s="18">
        <v>0</v>
      </c>
      <c r="I143" s="18">
        <v>0</v>
      </c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0</v>
      </c>
      <c r="G144" s="24" t="s">
        <v>312</v>
      </c>
      <c r="H144" s="18">
        <v>0</v>
      </c>
      <c r="I144" s="18">
        <v>0</v>
      </c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148012.29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50827.45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0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>
        <v>0</v>
      </c>
      <c r="G149" s="24" t="s">
        <v>312</v>
      </c>
      <c r="H149" s="18">
        <v>0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91377.279999999999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0</v>
      </c>
      <c r="G151" s="24" t="s">
        <v>312</v>
      </c>
      <c r="H151" s="18">
        <v>0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44107.49</v>
      </c>
      <c r="G152" s="24" t="s">
        <v>312</v>
      </c>
      <c r="H152" s="18">
        <v>0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>
        <v>0</v>
      </c>
      <c r="H153" s="18">
        <v>0</v>
      </c>
      <c r="I153" s="18">
        <v>0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44107.49</v>
      </c>
      <c r="G154" s="41">
        <f>SUM(G142:G153)</f>
        <v>91377.279999999999</v>
      </c>
      <c r="H154" s="41">
        <f>SUM(H142:H153)</f>
        <v>198839.74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0</v>
      </c>
      <c r="G155" s="18">
        <v>0</v>
      </c>
      <c r="H155" s="18">
        <v>0</v>
      </c>
      <c r="I155" s="18">
        <v>0</v>
      </c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0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0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0</v>
      </c>
      <c r="G160" s="18">
        <v>0</v>
      </c>
      <c r="H160" s="18">
        <v>0</v>
      </c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44107.49</v>
      </c>
      <c r="G161" s="41">
        <f>G139+G154+SUM(G155:G160)</f>
        <v>91377.279999999999</v>
      </c>
      <c r="H161" s="41">
        <f>H139+H154+SUM(H155:H160)</f>
        <v>198839.74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0</v>
      </c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0</v>
      </c>
      <c r="G166" s="24" t="s">
        <v>312</v>
      </c>
      <c r="H166" s="24" t="s">
        <v>312</v>
      </c>
      <c r="I166" s="18">
        <v>0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>
        <v>0</v>
      </c>
      <c r="G167" s="24" t="s">
        <v>312</v>
      </c>
      <c r="H167" s="24" t="s">
        <v>312</v>
      </c>
      <c r="I167" s="18">
        <v>0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>
        <v>0</v>
      </c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0</v>
      </c>
      <c r="H171" s="18">
        <v>0</v>
      </c>
      <c r="I171" s="18">
        <v>0</v>
      </c>
      <c r="J171" s="18">
        <v>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>
        <v>0</v>
      </c>
      <c r="I172" s="18">
        <v>0</v>
      </c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0</v>
      </c>
      <c r="G173" s="18">
        <v>0</v>
      </c>
      <c r="H173" s="24" t="s">
        <v>312</v>
      </c>
      <c r="I173" s="18">
        <v>0</v>
      </c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>
        <v>0</v>
      </c>
      <c r="H174" s="18">
        <v>0</v>
      </c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>
        <v>0</v>
      </c>
      <c r="H177" s="18">
        <v>0</v>
      </c>
      <c r="I177" s="18">
        <v>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>
        <v>0</v>
      </c>
      <c r="H178" s="18">
        <v>0</v>
      </c>
      <c r="I178" s="18">
        <v>0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0</v>
      </c>
      <c r="G179" s="18">
        <v>0</v>
      </c>
      <c r="H179" s="18">
        <v>0</v>
      </c>
      <c r="I179" s="18">
        <v>0</v>
      </c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0</v>
      </c>
      <c r="G181" s="18">
        <v>0</v>
      </c>
      <c r="H181" s="18">
        <v>0</v>
      </c>
      <c r="I181" s="18">
        <v>0</v>
      </c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>
        <v>0</v>
      </c>
      <c r="G182" s="18">
        <v>0</v>
      </c>
      <c r="H182" s="18">
        <v>0</v>
      </c>
      <c r="I182" s="18">
        <v>0</v>
      </c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0</v>
      </c>
      <c r="G183" s="18">
        <v>0</v>
      </c>
      <c r="H183" s="18">
        <v>0</v>
      </c>
      <c r="I183" s="18">
        <v>0</v>
      </c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12401277.470000001</v>
      </c>
      <c r="G185" s="47">
        <f>G104+G132+G161+G184</f>
        <v>354668.27</v>
      </c>
      <c r="H185" s="47">
        <f>H104+H132+H161+H184</f>
        <v>242202.23999999999</v>
      </c>
      <c r="I185" s="47">
        <f>I104+I132+I161+I184</f>
        <v>0</v>
      </c>
      <c r="J185" s="47">
        <f>J104+J132+J184</f>
        <v>167.36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1464749.38</v>
      </c>
      <c r="G189" s="18">
        <v>647310.29</v>
      </c>
      <c r="H189" s="18">
        <v>5868.95</v>
      </c>
      <c r="I189" s="18">
        <v>69416.23</v>
      </c>
      <c r="J189" s="18">
        <v>18763.45</v>
      </c>
      <c r="K189" s="18">
        <v>0</v>
      </c>
      <c r="L189" s="19">
        <f>SUM(F189:K189)</f>
        <v>2206108.3000000003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661068.57999999996</v>
      </c>
      <c r="G190" s="18">
        <v>170675.46</v>
      </c>
      <c r="H190" s="18">
        <v>74619.03</v>
      </c>
      <c r="I190" s="18">
        <v>6982.07</v>
      </c>
      <c r="J190" s="18">
        <v>1266.68</v>
      </c>
      <c r="K190" s="18">
        <v>3370.73</v>
      </c>
      <c r="L190" s="19">
        <f>SUM(F190:K190)</f>
        <v>917982.54999999993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17457.400000000001</v>
      </c>
      <c r="G192" s="18">
        <v>2344.09</v>
      </c>
      <c r="H192" s="18">
        <v>0</v>
      </c>
      <c r="I192" s="18">
        <v>0</v>
      </c>
      <c r="J192" s="18">
        <v>0</v>
      </c>
      <c r="K192" s="18">
        <v>0</v>
      </c>
      <c r="L192" s="19">
        <f>SUM(F192:K192)</f>
        <v>19801.490000000002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350796.99</v>
      </c>
      <c r="G194" s="18">
        <v>139457.17000000001</v>
      </c>
      <c r="H194" s="18">
        <v>635</v>
      </c>
      <c r="I194" s="18">
        <v>3530.85</v>
      </c>
      <c r="J194" s="18">
        <v>3563.78</v>
      </c>
      <c r="K194" s="18">
        <v>0</v>
      </c>
      <c r="L194" s="19">
        <f t="shared" ref="L194:L200" si="0">SUM(F194:K194)</f>
        <v>497983.79000000004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92956.31</v>
      </c>
      <c r="G195" s="18">
        <v>28084.25</v>
      </c>
      <c r="H195" s="18">
        <v>17713.78</v>
      </c>
      <c r="I195" s="18">
        <v>12085.5</v>
      </c>
      <c r="J195" s="18">
        <v>19101.419999999998</v>
      </c>
      <c r="K195" s="18">
        <v>0</v>
      </c>
      <c r="L195" s="19">
        <f t="shared" si="0"/>
        <v>169941.26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2375</v>
      </c>
      <c r="G196" s="18">
        <v>13881.11</v>
      </c>
      <c r="H196" s="18">
        <v>265909.68</v>
      </c>
      <c r="I196" s="18">
        <v>2133.0300000000002</v>
      </c>
      <c r="J196" s="18">
        <v>0</v>
      </c>
      <c r="K196" s="18">
        <v>2719.35</v>
      </c>
      <c r="L196" s="19">
        <f t="shared" si="0"/>
        <v>287018.17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250824.95999999999</v>
      </c>
      <c r="G197" s="18">
        <v>103178.13</v>
      </c>
      <c r="H197" s="18">
        <v>7440.45</v>
      </c>
      <c r="I197" s="18">
        <v>6306.4</v>
      </c>
      <c r="J197" s="18">
        <v>0</v>
      </c>
      <c r="K197" s="18">
        <v>360</v>
      </c>
      <c r="L197" s="19">
        <f t="shared" si="0"/>
        <v>368109.94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160568.01999999999</v>
      </c>
      <c r="G199" s="18">
        <v>77037.3</v>
      </c>
      <c r="H199" s="18">
        <v>144279.51999999999</v>
      </c>
      <c r="I199" s="18">
        <v>140776.38</v>
      </c>
      <c r="J199" s="18">
        <v>4839.03</v>
      </c>
      <c r="K199" s="18">
        <v>0</v>
      </c>
      <c r="L199" s="19">
        <f t="shared" si="0"/>
        <v>527500.25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v>394619.15</v>
      </c>
      <c r="I200" s="18">
        <v>0</v>
      </c>
      <c r="J200" s="18">
        <v>0</v>
      </c>
      <c r="K200" s="18">
        <v>0</v>
      </c>
      <c r="L200" s="19">
        <f t="shared" si="0"/>
        <v>394619.15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3000796.6399999997</v>
      </c>
      <c r="G203" s="41">
        <f t="shared" si="1"/>
        <v>1181967.8</v>
      </c>
      <c r="H203" s="41">
        <f t="shared" si="1"/>
        <v>911085.56</v>
      </c>
      <c r="I203" s="41">
        <f t="shared" si="1"/>
        <v>241230.46</v>
      </c>
      <c r="J203" s="41">
        <f t="shared" si="1"/>
        <v>47534.36</v>
      </c>
      <c r="K203" s="41">
        <f t="shared" si="1"/>
        <v>6450.08</v>
      </c>
      <c r="L203" s="41">
        <f t="shared" si="1"/>
        <v>5389064.9000000013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1503607.91</v>
      </c>
      <c r="G207" s="18">
        <v>667029.56999999995</v>
      </c>
      <c r="H207" s="18">
        <v>12053.61</v>
      </c>
      <c r="I207" s="18">
        <v>127406.17</v>
      </c>
      <c r="J207" s="18">
        <v>31612.42</v>
      </c>
      <c r="K207" s="18">
        <v>95</v>
      </c>
      <c r="L207" s="19">
        <f>SUM(F207:K207)</f>
        <v>2341804.6799999997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670153.87</v>
      </c>
      <c r="G208" s="18">
        <v>135822.10999999999</v>
      </c>
      <c r="H208" s="18">
        <v>36599.71</v>
      </c>
      <c r="I208" s="18">
        <v>14456.61</v>
      </c>
      <c r="J208" s="18">
        <v>4571.59</v>
      </c>
      <c r="K208" s="18">
        <v>5062.5</v>
      </c>
      <c r="L208" s="19">
        <f>SUM(F208:K208)</f>
        <v>866666.3899999999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35858.07</v>
      </c>
      <c r="G210" s="18">
        <v>4564.1499999999996</v>
      </c>
      <c r="H210" s="18">
        <v>0</v>
      </c>
      <c r="I210" s="18">
        <v>2761.92</v>
      </c>
      <c r="J210" s="18">
        <v>0</v>
      </c>
      <c r="K210" s="18">
        <v>3935</v>
      </c>
      <c r="L210" s="19">
        <f>SUM(F210:K210)</f>
        <v>47119.14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193547.79</v>
      </c>
      <c r="G212" s="18">
        <v>73784.72</v>
      </c>
      <c r="H212" s="18">
        <v>37227.75</v>
      </c>
      <c r="I212" s="18">
        <v>4017.99</v>
      </c>
      <c r="J212" s="18">
        <v>216.99</v>
      </c>
      <c r="K212" s="18">
        <v>0</v>
      </c>
      <c r="L212" s="19">
        <f t="shared" ref="L212:L218" si="2">SUM(F212:K212)</f>
        <v>308795.24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122033.13</v>
      </c>
      <c r="G213" s="18">
        <v>41781.769999999997</v>
      </c>
      <c r="H213" s="18">
        <v>33366.870000000003</v>
      </c>
      <c r="I213" s="18">
        <v>10653.75</v>
      </c>
      <c r="J213" s="18">
        <v>31247.89</v>
      </c>
      <c r="K213" s="18">
        <v>0</v>
      </c>
      <c r="L213" s="19">
        <f t="shared" si="2"/>
        <v>239083.40999999997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2375</v>
      </c>
      <c r="G214" s="18">
        <v>12848.17</v>
      </c>
      <c r="H214" s="18">
        <v>266247.64</v>
      </c>
      <c r="I214" s="18">
        <v>2062.9899999999998</v>
      </c>
      <c r="J214" s="18">
        <v>0</v>
      </c>
      <c r="K214" s="18">
        <v>6900.99</v>
      </c>
      <c r="L214" s="19">
        <f t="shared" si="2"/>
        <v>290434.78999999998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253787.11</v>
      </c>
      <c r="G215" s="18">
        <v>79303.360000000001</v>
      </c>
      <c r="H215" s="18">
        <v>7363.28</v>
      </c>
      <c r="I215" s="18">
        <v>4125</v>
      </c>
      <c r="J215" s="18">
        <v>0</v>
      </c>
      <c r="K215" s="18">
        <v>924.89</v>
      </c>
      <c r="L215" s="19">
        <f t="shared" si="2"/>
        <v>345503.64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213446.84</v>
      </c>
      <c r="G217" s="18">
        <v>98138.58</v>
      </c>
      <c r="H217" s="18">
        <v>150321.26999999999</v>
      </c>
      <c r="I217" s="18">
        <v>279193.8</v>
      </c>
      <c r="J217" s="18">
        <v>5110.5</v>
      </c>
      <c r="K217" s="18">
        <v>0</v>
      </c>
      <c r="L217" s="19">
        <f t="shared" si="2"/>
        <v>746210.99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0</v>
      </c>
      <c r="G218" s="18">
        <v>0</v>
      </c>
      <c r="H218" s="18">
        <v>265873.61</v>
      </c>
      <c r="I218" s="18">
        <v>0</v>
      </c>
      <c r="J218" s="18">
        <v>0</v>
      </c>
      <c r="K218" s="18">
        <v>0</v>
      </c>
      <c r="L218" s="19">
        <f t="shared" si="2"/>
        <v>265873.61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2994809.7199999993</v>
      </c>
      <c r="G221" s="41">
        <f>SUM(G207:G220)</f>
        <v>1113272.43</v>
      </c>
      <c r="H221" s="41">
        <f>SUM(H207:H220)</f>
        <v>809053.74</v>
      </c>
      <c r="I221" s="41">
        <f>SUM(I207:I220)</f>
        <v>444678.23</v>
      </c>
      <c r="J221" s="41">
        <f>SUM(J207:J220)</f>
        <v>72759.389999999985</v>
      </c>
      <c r="K221" s="41">
        <f t="shared" si="3"/>
        <v>16918.38</v>
      </c>
      <c r="L221" s="41">
        <f t="shared" si="3"/>
        <v>5451491.8899999997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5995606.3599999994</v>
      </c>
      <c r="G249" s="41">
        <f t="shared" si="8"/>
        <v>2295240.23</v>
      </c>
      <c r="H249" s="41">
        <f t="shared" si="8"/>
        <v>1720139.3</v>
      </c>
      <c r="I249" s="41">
        <f t="shared" si="8"/>
        <v>685908.69</v>
      </c>
      <c r="J249" s="41">
        <f t="shared" si="8"/>
        <v>120293.74999999999</v>
      </c>
      <c r="K249" s="41">
        <f t="shared" si="8"/>
        <v>23368.46</v>
      </c>
      <c r="L249" s="41">
        <f t="shared" si="8"/>
        <v>10840556.790000001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900000</v>
      </c>
      <c r="L252" s="19">
        <f>SUM(F252:K252)</f>
        <v>900000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555750</v>
      </c>
      <c r="L253" s="19">
        <f>SUM(F253:K253)</f>
        <v>555750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0</v>
      </c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1455750</v>
      </c>
      <c r="L262" s="41">
        <f t="shared" si="9"/>
        <v>1455750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5995606.3599999994</v>
      </c>
      <c r="G263" s="42">
        <f t="shared" si="11"/>
        <v>2295240.23</v>
      </c>
      <c r="H263" s="42">
        <f t="shared" si="11"/>
        <v>1720139.3</v>
      </c>
      <c r="I263" s="42">
        <f t="shared" si="11"/>
        <v>685908.69</v>
      </c>
      <c r="J263" s="42">
        <f t="shared" si="11"/>
        <v>120293.74999999999</v>
      </c>
      <c r="K263" s="42">
        <f t="shared" si="11"/>
        <v>1479118.46</v>
      </c>
      <c r="L263" s="42">
        <f t="shared" si="11"/>
        <v>12296306.790000001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26351.98</v>
      </c>
      <c r="G268" s="18">
        <v>7941.96</v>
      </c>
      <c r="H268" s="18">
        <v>24800.77</v>
      </c>
      <c r="I268" s="18">
        <v>700.01</v>
      </c>
      <c r="J268" s="18">
        <v>2986.12</v>
      </c>
      <c r="K268" s="18">
        <v>0</v>
      </c>
      <c r="L268" s="19">
        <f>SUM(F268:K268)</f>
        <v>62780.840000000011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0</v>
      </c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0</v>
      </c>
      <c r="I273" s="18">
        <v>0</v>
      </c>
      <c r="J273" s="18">
        <v>0</v>
      </c>
      <c r="K273" s="18">
        <v>0</v>
      </c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15347.46</v>
      </c>
      <c r="G274" s="18">
        <v>2069.14</v>
      </c>
      <c r="H274" s="18">
        <v>23252.080000000002</v>
      </c>
      <c r="I274" s="18">
        <v>650</v>
      </c>
      <c r="J274" s="18">
        <v>0</v>
      </c>
      <c r="K274" s="18">
        <v>0</v>
      </c>
      <c r="L274" s="19">
        <f t="shared" si="12"/>
        <v>41318.68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4356.3500000000004</v>
      </c>
      <c r="L275" s="19">
        <f t="shared" si="12"/>
        <v>4356.3500000000004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41699.440000000002</v>
      </c>
      <c r="G282" s="42">
        <f t="shared" si="13"/>
        <v>10011.1</v>
      </c>
      <c r="H282" s="42">
        <f t="shared" si="13"/>
        <v>48052.850000000006</v>
      </c>
      <c r="I282" s="42">
        <f t="shared" si="13"/>
        <v>1350.01</v>
      </c>
      <c r="J282" s="42">
        <f t="shared" si="13"/>
        <v>2986.12</v>
      </c>
      <c r="K282" s="42">
        <f t="shared" si="13"/>
        <v>4356.3500000000004</v>
      </c>
      <c r="L282" s="41">
        <f t="shared" si="13"/>
        <v>108455.87000000002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18839.57</v>
      </c>
      <c r="G287" s="18">
        <v>17452.73</v>
      </c>
      <c r="H287" s="18">
        <v>0</v>
      </c>
      <c r="I287" s="18">
        <v>1400</v>
      </c>
      <c r="J287" s="18">
        <v>0</v>
      </c>
      <c r="K287" s="18">
        <v>0</v>
      </c>
      <c r="L287" s="19">
        <f>SUM(F287:K287)</f>
        <v>37692.300000000003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0</v>
      </c>
      <c r="G289" s="18">
        <v>0</v>
      </c>
      <c r="H289" s="18">
        <v>0</v>
      </c>
      <c r="I289" s="18">
        <v>0</v>
      </c>
      <c r="J289" s="18">
        <v>0</v>
      </c>
      <c r="K289" s="18">
        <v>0</v>
      </c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37018.480000000003</v>
      </c>
      <c r="G290" s="18">
        <v>2831.86</v>
      </c>
      <c r="H290" s="18">
        <v>0</v>
      </c>
      <c r="I290" s="18">
        <v>0</v>
      </c>
      <c r="J290" s="18">
        <v>0</v>
      </c>
      <c r="K290" s="18">
        <v>0</v>
      </c>
      <c r="L290" s="19">
        <f>SUM(F290:K290)</f>
        <v>39850.340000000004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23100</v>
      </c>
      <c r="G293" s="18">
        <v>3508.68</v>
      </c>
      <c r="H293" s="18">
        <v>23674.97</v>
      </c>
      <c r="I293" s="18">
        <v>907.92</v>
      </c>
      <c r="J293" s="18">
        <v>0</v>
      </c>
      <c r="K293" s="18">
        <v>0</v>
      </c>
      <c r="L293" s="19">
        <f t="shared" si="14"/>
        <v>51191.57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0</v>
      </c>
      <c r="G299" s="18"/>
      <c r="H299" s="18">
        <v>0</v>
      </c>
      <c r="I299" s="18">
        <v>0</v>
      </c>
      <c r="J299" s="18">
        <v>0</v>
      </c>
      <c r="K299" s="18">
        <v>0</v>
      </c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78958.05</v>
      </c>
      <c r="G301" s="42">
        <f t="shared" si="15"/>
        <v>23793.27</v>
      </c>
      <c r="H301" s="42">
        <f t="shared" si="15"/>
        <v>23674.97</v>
      </c>
      <c r="I301" s="42">
        <f t="shared" si="15"/>
        <v>2307.92</v>
      </c>
      <c r="J301" s="42">
        <f t="shared" si="15"/>
        <v>0</v>
      </c>
      <c r="K301" s="42">
        <f t="shared" si="15"/>
        <v>0</v>
      </c>
      <c r="L301" s="41">
        <f t="shared" si="15"/>
        <v>128734.21000000002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>
        <v>1500</v>
      </c>
      <c r="I327" s="18"/>
      <c r="J327" s="18"/>
      <c r="K327" s="18"/>
      <c r="L327" s="19">
        <f t="shared" si="18"/>
        <v>1500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1500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1500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120657.49</v>
      </c>
      <c r="G330" s="41">
        <f t="shared" si="20"/>
        <v>33804.370000000003</v>
      </c>
      <c r="H330" s="41">
        <f t="shared" si="20"/>
        <v>73227.820000000007</v>
      </c>
      <c r="I330" s="41">
        <f t="shared" si="20"/>
        <v>3657.9300000000003</v>
      </c>
      <c r="J330" s="41">
        <f t="shared" si="20"/>
        <v>2986.12</v>
      </c>
      <c r="K330" s="41">
        <f t="shared" si="20"/>
        <v>4356.3500000000004</v>
      </c>
      <c r="L330" s="41">
        <f t="shared" si="20"/>
        <v>238690.08000000005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0</v>
      </c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120657.49</v>
      </c>
      <c r="G344" s="41">
        <f>G330</f>
        <v>33804.370000000003</v>
      </c>
      <c r="H344" s="41">
        <f>H330</f>
        <v>73227.820000000007</v>
      </c>
      <c r="I344" s="41">
        <f>I330</f>
        <v>3657.9300000000003</v>
      </c>
      <c r="J344" s="41">
        <f>J330</f>
        <v>2986.12</v>
      </c>
      <c r="K344" s="47">
        <f>K330+K343</f>
        <v>4356.3500000000004</v>
      </c>
      <c r="L344" s="41">
        <f>L330+L343</f>
        <v>238690.08000000005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0</v>
      </c>
      <c r="G350" s="18">
        <v>0</v>
      </c>
      <c r="H350" s="18">
        <v>177028.54</v>
      </c>
      <c r="I350" s="18">
        <v>124.14</v>
      </c>
      <c r="J350" s="18">
        <v>0</v>
      </c>
      <c r="K350" s="18">
        <v>5074.93</v>
      </c>
      <c r="L350" s="13">
        <f>SUM(F350:K350)</f>
        <v>182227.61000000002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0</v>
      </c>
      <c r="G351" s="18">
        <v>0</v>
      </c>
      <c r="H351" s="18">
        <v>175893.92</v>
      </c>
      <c r="I351" s="18">
        <v>0</v>
      </c>
      <c r="J351" s="18">
        <v>0</v>
      </c>
      <c r="K351" s="18">
        <v>540</v>
      </c>
      <c r="L351" s="19">
        <f>SUM(F351:K351)</f>
        <v>176433.92000000001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352922.46</v>
      </c>
      <c r="I354" s="47">
        <f t="shared" si="22"/>
        <v>124.14</v>
      </c>
      <c r="J354" s="47">
        <f t="shared" si="22"/>
        <v>0</v>
      </c>
      <c r="K354" s="47">
        <f t="shared" si="22"/>
        <v>5614.93</v>
      </c>
      <c r="L354" s="47">
        <f t="shared" si="22"/>
        <v>358661.53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0</v>
      </c>
      <c r="G359" s="18">
        <v>0</v>
      </c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124.14</v>
      </c>
      <c r="G360" s="63">
        <v>0</v>
      </c>
      <c r="H360" s="63"/>
      <c r="I360" s="56">
        <f>SUM(F360:H360)</f>
        <v>124.14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124.14</v>
      </c>
      <c r="G361" s="47">
        <f>SUM(G359:G360)</f>
        <v>0</v>
      </c>
      <c r="H361" s="47">
        <f>SUM(H359:H360)</f>
        <v>0</v>
      </c>
      <c r="I361" s="47">
        <f>SUM(I359:I360)</f>
        <v>124.14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28.02</v>
      </c>
      <c r="I381" s="18"/>
      <c r="J381" s="24" t="s">
        <v>312</v>
      </c>
      <c r="K381" s="24" t="s">
        <v>312</v>
      </c>
      <c r="L381" s="56">
        <f t="shared" si="25"/>
        <v>28.02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28.02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28.02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0</v>
      </c>
      <c r="H388" s="18">
        <v>73.95</v>
      </c>
      <c r="I388" s="18"/>
      <c r="J388" s="24" t="s">
        <v>312</v>
      </c>
      <c r="K388" s="24" t="s">
        <v>312</v>
      </c>
      <c r="L388" s="56">
        <f t="shared" si="26"/>
        <v>73.95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12.5</v>
      </c>
      <c r="I389" s="18"/>
      <c r="J389" s="24" t="s">
        <v>312</v>
      </c>
      <c r="K389" s="24" t="s">
        <v>312</v>
      </c>
      <c r="L389" s="56">
        <f t="shared" si="26"/>
        <v>12.5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52.89</v>
      </c>
      <c r="I392" s="18"/>
      <c r="J392" s="24" t="s">
        <v>312</v>
      </c>
      <c r="K392" s="24" t="s">
        <v>312</v>
      </c>
      <c r="L392" s="56">
        <f t="shared" si="26"/>
        <v>52.89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139.34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139.34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167.36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167.36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>
        <v>83115.899999999994</v>
      </c>
      <c r="J414" s="18"/>
      <c r="K414" s="18"/>
      <c r="L414" s="56">
        <f t="shared" si="29"/>
        <v>83115.899999999994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83115.899999999994</v>
      </c>
      <c r="J419" s="47">
        <f t="shared" si="30"/>
        <v>0</v>
      </c>
      <c r="K419" s="47">
        <f t="shared" si="30"/>
        <v>0</v>
      </c>
      <c r="L419" s="47">
        <f t="shared" si="30"/>
        <v>83115.899999999994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83115.899999999994</v>
      </c>
      <c r="J426" s="47">
        <f t="shared" si="32"/>
        <v>0</v>
      </c>
      <c r="K426" s="47">
        <f t="shared" si="32"/>
        <v>0</v>
      </c>
      <c r="L426" s="47">
        <f t="shared" si="32"/>
        <v>83115.899999999994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335036.34000000003</v>
      </c>
      <c r="H431" s="18"/>
      <c r="I431" s="56">
        <f t="shared" ref="I431:I437" si="33">SUM(F431:H431)</f>
        <v>335036.34000000003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335036.34000000003</v>
      </c>
      <c r="H438" s="13">
        <f>SUM(H431:H437)</f>
        <v>0</v>
      </c>
      <c r="I438" s="13">
        <f>SUM(I431:I437)</f>
        <v>335036.34000000003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>
        <v>83115.899999999994</v>
      </c>
      <c r="H441" s="18"/>
      <c r="I441" s="56">
        <f>SUM(F441:H441)</f>
        <v>83115.899999999994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83115.899999999994</v>
      </c>
      <c r="H444" s="72">
        <f>SUM(H440:H443)</f>
        <v>0</v>
      </c>
      <c r="I444" s="72">
        <f>SUM(I440:I443)</f>
        <v>83115.899999999994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251920.44</v>
      </c>
      <c r="H449" s="18"/>
      <c r="I449" s="56">
        <f>SUM(F449:H449)</f>
        <v>251920.44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251920.44</v>
      </c>
      <c r="H450" s="83">
        <f>SUM(H446:H449)</f>
        <v>0</v>
      </c>
      <c r="I450" s="83">
        <f>SUM(I446:I449)</f>
        <v>251920.44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335036.33999999997</v>
      </c>
      <c r="H451" s="42">
        <f>H444+H450</f>
        <v>0</v>
      </c>
      <c r="I451" s="42">
        <f>I444+I450</f>
        <v>335036.33999999997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34359.85</v>
      </c>
      <c r="G455" s="18">
        <v>26952.85</v>
      </c>
      <c r="H455" s="18">
        <v>3020.6</v>
      </c>
      <c r="I455" s="18">
        <v>0</v>
      </c>
      <c r="J455" s="18">
        <v>334868.98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12401277.470000001</v>
      </c>
      <c r="G458" s="18">
        <v>354668.27</v>
      </c>
      <c r="H458" s="18">
        <v>242202.23999999999</v>
      </c>
      <c r="I458" s="18">
        <v>0</v>
      </c>
      <c r="J458" s="18">
        <v>167.36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5202.8100000000004</v>
      </c>
      <c r="G459" s="18">
        <v>6700</v>
      </c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12406480.280000001</v>
      </c>
      <c r="G460" s="53">
        <f>SUM(G458:G459)</f>
        <v>361368.27</v>
      </c>
      <c r="H460" s="53">
        <f>SUM(H458:H459)</f>
        <v>242202.23999999999</v>
      </c>
      <c r="I460" s="53">
        <f>SUM(I458:I459)</f>
        <v>0</v>
      </c>
      <c r="J460" s="53">
        <f>SUM(J458:J459)</f>
        <v>167.36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12296306.789999999</v>
      </c>
      <c r="G462" s="18">
        <v>358661.53</v>
      </c>
      <c r="H462" s="18">
        <v>238690.08</v>
      </c>
      <c r="I462" s="18">
        <v>0</v>
      </c>
      <c r="J462" s="18">
        <v>83115.899999999994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149.22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12296456.01</v>
      </c>
      <c r="G464" s="53">
        <f>SUM(G462:G463)</f>
        <v>358661.53</v>
      </c>
      <c r="H464" s="53">
        <f>SUM(H462:H463)</f>
        <v>238690.08</v>
      </c>
      <c r="I464" s="53">
        <f>SUM(I462:I463)</f>
        <v>0</v>
      </c>
      <c r="J464" s="53">
        <f>SUM(J462:J463)</f>
        <v>83115.899999999994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144384.12000000104</v>
      </c>
      <c r="G466" s="53">
        <f>(G455+G460)- G464</f>
        <v>29659.589999999967</v>
      </c>
      <c r="H466" s="53">
        <f>(H455+H460)- H464</f>
        <v>6532.7600000000093</v>
      </c>
      <c r="I466" s="53">
        <f>(I455+I460)- I464</f>
        <v>0</v>
      </c>
      <c r="J466" s="53">
        <f>(J455+J460)- J464</f>
        <v>251920.43999999997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 t="s">
        <v>896</v>
      </c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897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18000000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14400000</v>
      </c>
      <c r="G485" s="18"/>
      <c r="H485" s="18"/>
      <c r="I485" s="18"/>
      <c r="J485" s="18"/>
      <c r="K485" s="53">
        <f>SUM(F485:J485)</f>
        <v>14400000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900000</v>
      </c>
      <c r="G487" s="18"/>
      <c r="H487" s="18"/>
      <c r="I487" s="18"/>
      <c r="J487" s="18"/>
      <c r="K487" s="53">
        <f t="shared" si="34"/>
        <v>900000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13500000</v>
      </c>
      <c r="G488" s="205"/>
      <c r="H488" s="205"/>
      <c r="I488" s="205"/>
      <c r="J488" s="205"/>
      <c r="K488" s="206">
        <f t="shared" si="34"/>
        <v>13500000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4108500</v>
      </c>
      <c r="G489" s="18"/>
      <c r="H489" s="18"/>
      <c r="I489" s="18"/>
      <c r="J489" s="18"/>
      <c r="K489" s="53">
        <f t="shared" si="34"/>
        <v>4108500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17608500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17608500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900000</v>
      </c>
      <c r="G491" s="205"/>
      <c r="H491" s="205"/>
      <c r="I491" s="205"/>
      <c r="J491" s="205"/>
      <c r="K491" s="206">
        <f t="shared" si="34"/>
        <v>900000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523125</v>
      </c>
      <c r="G492" s="18"/>
      <c r="H492" s="18"/>
      <c r="I492" s="18"/>
      <c r="J492" s="18"/>
      <c r="K492" s="53">
        <f t="shared" si="34"/>
        <v>523125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1423125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1423125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661068.57999999996</v>
      </c>
      <c r="G511" s="18">
        <v>170675.46</v>
      </c>
      <c r="H511" s="18">
        <v>74619.03</v>
      </c>
      <c r="I511" s="18">
        <v>6982.07</v>
      </c>
      <c r="J511" s="18">
        <v>1266.68</v>
      </c>
      <c r="K511" s="18">
        <v>3370.73</v>
      </c>
      <c r="L511" s="88">
        <f>SUM(F511:K511)</f>
        <v>917982.54999999993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670153.87</v>
      </c>
      <c r="G512" s="18">
        <v>135822.10999999999</v>
      </c>
      <c r="H512" s="18">
        <v>36599.71</v>
      </c>
      <c r="I512" s="18">
        <v>14456.61</v>
      </c>
      <c r="J512" s="18">
        <v>4571.59</v>
      </c>
      <c r="K512" s="18">
        <v>5062.5</v>
      </c>
      <c r="L512" s="88">
        <f>SUM(F512:K512)</f>
        <v>866666.3899999999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1331222.45</v>
      </c>
      <c r="G514" s="108">
        <f t="shared" ref="G514:L514" si="35">SUM(G511:G513)</f>
        <v>306497.56999999995</v>
      </c>
      <c r="H514" s="108">
        <f t="shared" si="35"/>
        <v>111218.73999999999</v>
      </c>
      <c r="I514" s="108">
        <f t="shared" si="35"/>
        <v>21438.68</v>
      </c>
      <c r="J514" s="108">
        <f t="shared" si="35"/>
        <v>5838.27</v>
      </c>
      <c r="K514" s="108">
        <f t="shared" si="35"/>
        <v>8433.23</v>
      </c>
      <c r="L514" s="89">
        <f t="shared" si="35"/>
        <v>1784648.94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208450.58</v>
      </c>
      <c r="G516" s="18">
        <v>82176.73</v>
      </c>
      <c r="H516" s="18">
        <v>0</v>
      </c>
      <c r="I516" s="18">
        <v>1900.74</v>
      </c>
      <c r="J516" s="18">
        <v>3563.78</v>
      </c>
      <c r="K516" s="18">
        <v>0</v>
      </c>
      <c r="L516" s="88">
        <f>SUM(F516:K516)</f>
        <v>296091.83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80072.789999999994</v>
      </c>
      <c r="G517" s="18">
        <v>31637.34</v>
      </c>
      <c r="H517" s="18">
        <v>35418.75</v>
      </c>
      <c r="I517" s="18">
        <v>425.22</v>
      </c>
      <c r="J517" s="18">
        <v>216.99</v>
      </c>
      <c r="K517" s="18">
        <v>0</v>
      </c>
      <c r="L517" s="88">
        <f>SUM(F517:K517)</f>
        <v>147771.09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288523.37</v>
      </c>
      <c r="G519" s="89">
        <f t="shared" ref="G519:L519" si="36">SUM(G516:G518)</f>
        <v>113814.06999999999</v>
      </c>
      <c r="H519" s="89">
        <f t="shared" si="36"/>
        <v>35418.75</v>
      </c>
      <c r="I519" s="89">
        <f t="shared" si="36"/>
        <v>2325.96</v>
      </c>
      <c r="J519" s="89">
        <f t="shared" si="36"/>
        <v>3780.7700000000004</v>
      </c>
      <c r="K519" s="89">
        <f t="shared" si="36"/>
        <v>0</v>
      </c>
      <c r="L519" s="89">
        <f t="shared" si="36"/>
        <v>443862.92000000004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28913.200000000001</v>
      </c>
      <c r="G521" s="18">
        <v>7596.78</v>
      </c>
      <c r="H521" s="18">
        <v>107.27</v>
      </c>
      <c r="I521" s="18">
        <v>490.7</v>
      </c>
      <c r="J521" s="18">
        <v>0</v>
      </c>
      <c r="K521" s="18">
        <v>256.3</v>
      </c>
      <c r="L521" s="88">
        <f>SUM(F521:K521)</f>
        <v>37364.25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28913.200000000001</v>
      </c>
      <c r="G522" s="18">
        <v>7596.78</v>
      </c>
      <c r="H522" s="18">
        <v>107.27</v>
      </c>
      <c r="I522" s="18">
        <v>490.69</v>
      </c>
      <c r="J522" s="18">
        <v>0</v>
      </c>
      <c r="K522" s="18">
        <v>256.3</v>
      </c>
      <c r="L522" s="88">
        <f>SUM(F522:K522)</f>
        <v>37364.240000000005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57826.400000000001</v>
      </c>
      <c r="G524" s="89">
        <f t="shared" ref="G524:L524" si="37">SUM(G521:G523)</f>
        <v>15193.56</v>
      </c>
      <c r="H524" s="89">
        <f t="shared" si="37"/>
        <v>214.54</v>
      </c>
      <c r="I524" s="89">
        <f t="shared" si="37"/>
        <v>981.39</v>
      </c>
      <c r="J524" s="89">
        <f t="shared" si="37"/>
        <v>0</v>
      </c>
      <c r="K524" s="89">
        <f t="shared" si="37"/>
        <v>512.6</v>
      </c>
      <c r="L524" s="89">
        <f t="shared" si="37"/>
        <v>74728.490000000005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8726.84</v>
      </c>
      <c r="I526" s="18"/>
      <c r="J526" s="18"/>
      <c r="K526" s="18"/>
      <c r="L526" s="88">
        <f>SUM(F526:K526)</f>
        <v>8726.84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9248.84</v>
      </c>
      <c r="I527" s="18"/>
      <c r="J527" s="18"/>
      <c r="K527" s="18"/>
      <c r="L527" s="88">
        <f>SUM(F527:K527)</f>
        <v>9248.84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17975.68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17975.68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158723.42000000001</v>
      </c>
      <c r="I531" s="18"/>
      <c r="J531" s="18"/>
      <c r="K531" s="18"/>
      <c r="L531" s="88">
        <f>SUM(F531:K531)</f>
        <v>158723.42000000001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21993.040000000001</v>
      </c>
      <c r="I532" s="18"/>
      <c r="J532" s="18"/>
      <c r="K532" s="18"/>
      <c r="L532" s="88">
        <f>SUM(F532:K532)</f>
        <v>21993.040000000001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180716.46000000002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180716.46000000002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1677572.2199999997</v>
      </c>
      <c r="G535" s="89">
        <f t="shared" ref="G535:L535" si="40">G514+G519+G524+G529+G534</f>
        <v>435505.19999999995</v>
      </c>
      <c r="H535" s="89">
        <f t="shared" si="40"/>
        <v>345544.17000000004</v>
      </c>
      <c r="I535" s="89">
        <f t="shared" si="40"/>
        <v>24746.03</v>
      </c>
      <c r="J535" s="89">
        <f t="shared" si="40"/>
        <v>9619.0400000000009</v>
      </c>
      <c r="K535" s="89">
        <f t="shared" si="40"/>
        <v>8945.83</v>
      </c>
      <c r="L535" s="89">
        <f t="shared" si="40"/>
        <v>2501932.4900000002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917982.54999999993</v>
      </c>
      <c r="G539" s="87">
        <f>L516</f>
        <v>296091.83</v>
      </c>
      <c r="H539" s="87">
        <f>L521</f>
        <v>37364.25</v>
      </c>
      <c r="I539" s="87">
        <f>L526</f>
        <v>8726.84</v>
      </c>
      <c r="J539" s="87">
        <f>L531</f>
        <v>158723.42000000001</v>
      </c>
      <c r="K539" s="87">
        <f>SUM(F539:J539)</f>
        <v>1418888.89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866666.3899999999</v>
      </c>
      <c r="G540" s="87">
        <f>L517</f>
        <v>147771.09</v>
      </c>
      <c r="H540" s="87">
        <f>L522</f>
        <v>37364.240000000005</v>
      </c>
      <c r="I540" s="87">
        <f>L527</f>
        <v>9248.84</v>
      </c>
      <c r="J540" s="87">
        <f>L532</f>
        <v>21993.040000000001</v>
      </c>
      <c r="K540" s="87">
        <f>SUM(F540:J540)</f>
        <v>1083043.6000000001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1784648.94</v>
      </c>
      <c r="G542" s="89">
        <f t="shared" si="41"/>
        <v>443862.92000000004</v>
      </c>
      <c r="H542" s="89">
        <f t="shared" si="41"/>
        <v>74728.490000000005</v>
      </c>
      <c r="I542" s="89">
        <f t="shared" si="41"/>
        <v>17975.68</v>
      </c>
      <c r="J542" s="89">
        <f t="shared" si="41"/>
        <v>180716.46000000002</v>
      </c>
      <c r="K542" s="89">
        <f t="shared" si="41"/>
        <v>2501932.4900000002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515.1</v>
      </c>
      <c r="G552" s="18">
        <v>39.409999999999997</v>
      </c>
      <c r="H552" s="18">
        <v>0</v>
      </c>
      <c r="I552" s="18">
        <v>0</v>
      </c>
      <c r="J552" s="18">
        <v>0</v>
      </c>
      <c r="K552" s="18">
        <v>0</v>
      </c>
      <c r="L552" s="88">
        <f>SUM(F552:K552)</f>
        <v>554.51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758.85</v>
      </c>
      <c r="G553" s="18">
        <v>77.58</v>
      </c>
      <c r="H553" s="18">
        <v>0</v>
      </c>
      <c r="I553" s="18">
        <v>0</v>
      </c>
      <c r="J553" s="18">
        <v>0</v>
      </c>
      <c r="K553" s="18">
        <v>0</v>
      </c>
      <c r="L553" s="88">
        <f>SUM(F553:K553)</f>
        <v>836.43000000000006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1273.95</v>
      </c>
      <c r="G555" s="89">
        <f t="shared" si="43"/>
        <v>116.99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1390.94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1273.95</v>
      </c>
      <c r="G561" s="89">
        <f t="shared" ref="G561:L561" si="45">G550+G555+G560</f>
        <v>116.99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1390.94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0</v>
      </c>
      <c r="G565" s="18">
        <v>0</v>
      </c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>
        <v>0</v>
      </c>
      <c r="G566" s="18">
        <v>0</v>
      </c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0</v>
      </c>
      <c r="G568" s="18">
        <v>0</v>
      </c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0</v>
      </c>
      <c r="G569" s="18">
        <v>0</v>
      </c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0</v>
      </c>
      <c r="G570" s="18">
        <v>0</v>
      </c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3236.64</v>
      </c>
      <c r="G572" s="18">
        <v>2530</v>
      </c>
      <c r="H572" s="18"/>
      <c r="I572" s="87">
        <f t="shared" si="46"/>
        <v>5766.6399999999994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0</v>
      </c>
      <c r="G573" s="18">
        <v>2420</v>
      </c>
      <c r="H573" s="18"/>
      <c r="I573" s="87">
        <f t="shared" si="46"/>
        <v>2420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>
        <v>0</v>
      </c>
      <c r="G574" s="18">
        <v>0</v>
      </c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>
        <v>0</v>
      </c>
      <c r="G575" s="18">
        <v>0</v>
      </c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>
        <v>0</v>
      </c>
      <c r="G577" s="18">
        <v>0</v>
      </c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235395.1</v>
      </c>
      <c r="I581" s="18">
        <v>234008.49</v>
      </c>
      <c r="J581" s="18"/>
      <c r="K581" s="104">
        <f t="shared" ref="K581:K587" si="47">SUM(H581:J581)</f>
        <v>469403.58999999997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158723.42000000001</v>
      </c>
      <c r="I582" s="18">
        <v>21993.040000000001</v>
      </c>
      <c r="J582" s="18"/>
      <c r="K582" s="104">
        <f t="shared" si="47"/>
        <v>180716.46000000002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>
        <v>0</v>
      </c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>
        <v>9515.08</v>
      </c>
      <c r="J584" s="18"/>
      <c r="K584" s="104">
        <f t="shared" si="47"/>
        <v>9515.08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500.63</v>
      </c>
      <c r="I585" s="18">
        <v>357</v>
      </c>
      <c r="J585" s="18"/>
      <c r="K585" s="104">
        <f t="shared" si="47"/>
        <v>857.63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>
        <v>0</v>
      </c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394619.15</v>
      </c>
      <c r="I588" s="108">
        <f>SUM(I581:I587)</f>
        <v>265873.61</v>
      </c>
      <c r="J588" s="108">
        <f>SUM(J581:J587)</f>
        <v>0</v>
      </c>
      <c r="K588" s="108">
        <f>SUM(K581:K587)</f>
        <v>660492.76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0</v>
      </c>
      <c r="I592" s="18">
        <v>0</v>
      </c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0</v>
      </c>
      <c r="I593" s="18">
        <v>0</v>
      </c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50520.480000000003</v>
      </c>
      <c r="I594" s="18">
        <v>72759.39</v>
      </c>
      <c r="J594" s="18"/>
      <c r="K594" s="104">
        <f>SUM(H594:J594)</f>
        <v>123279.87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50520.480000000003</v>
      </c>
      <c r="I595" s="108">
        <f>SUM(I592:I594)</f>
        <v>72759.39</v>
      </c>
      <c r="J595" s="108">
        <f>SUM(J592:J594)</f>
        <v>0</v>
      </c>
      <c r="K595" s="108">
        <f>SUM(K592:K594)</f>
        <v>123279.87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22968.75</v>
      </c>
      <c r="G601" s="18">
        <v>1756.44</v>
      </c>
      <c r="H601" s="18">
        <v>0</v>
      </c>
      <c r="I601" s="18">
        <v>0</v>
      </c>
      <c r="J601" s="18">
        <v>0</v>
      </c>
      <c r="K601" s="18">
        <v>0</v>
      </c>
      <c r="L601" s="88">
        <f>SUM(F601:K601)</f>
        <v>24725.19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14652.5</v>
      </c>
      <c r="G602" s="18">
        <v>940.63</v>
      </c>
      <c r="H602" s="18">
        <v>0</v>
      </c>
      <c r="I602" s="18">
        <v>204.18</v>
      </c>
      <c r="J602" s="18">
        <v>0</v>
      </c>
      <c r="K602" s="18">
        <v>0</v>
      </c>
      <c r="L602" s="88">
        <f>SUM(F602:K602)</f>
        <v>15797.31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37621.25</v>
      </c>
      <c r="G604" s="108">
        <f t="shared" si="48"/>
        <v>2697.07</v>
      </c>
      <c r="H604" s="108">
        <f t="shared" si="48"/>
        <v>0</v>
      </c>
      <c r="I604" s="108">
        <f t="shared" si="48"/>
        <v>204.18</v>
      </c>
      <c r="J604" s="108">
        <f t="shared" si="48"/>
        <v>0</v>
      </c>
      <c r="K604" s="108">
        <f t="shared" si="48"/>
        <v>0</v>
      </c>
      <c r="L604" s="89">
        <f t="shared" si="48"/>
        <v>40522.5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209758.62</v>
      </c>
      <c r="H607" s="109">
        <f>SUM(F44)</f>
        <v>209758.62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34593.919999999998</v>
      </c>
      <c r="H608" s="109">
        <f>SUM(G44)</f>
        <v>34593.919999999998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8081.75</v>
      </c>
      <c r="H609" s="109">
        <f>SUM(H44)</f>
        <v>8081.75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335036.34000000003</v>
      </c>
      <c r="H611" s="109">
        <f>SUM(J44)</f>
        <v>335036.33999999997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144384.12</v>
      </c>
      <c r="H612" s="109">
        <f>F466</f>
        <v>144384.12000000104</v>
      </c>
      <c r="I612" s="121" t="s">
        <v>106</v>
      </c>
      <c r="J612" s="109">
        <f t="shared" ref="J612:J645" si="49">G612-H612</f>
        <v>-1.0477378964424133E-9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29659.59</v>
      </c>
      <c r="H613" s="109">
        <f>G466</f>
        <v>29659.589999999967</v>
      </c>
      <c r="I613" s="121" t="s">
        <v>108</v>
      </c>
      <c r="J613" s="109">
        <f t="shared" si="49"/>
        <v>3.2741809263825417E-11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6532.76</v>
      </c>
      <c r="H614" s="109">
        <f>H466</f>
        <v>6532.7600000000093</v>
      </c>
      <c r="I614" s="121" t="s">
        <v>110</v>
      </c>
      <c r="J614" s="109">
        <f t="shared" si="49"/>
        <v>-9.0949470177292824E-12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251920.44</v>
      </c>
      <c r="H616" s="109">
        <f>J466</f>
        <v>251920.43999999997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12401277.470000001</v>
      </c>
      <c r="H617" s="104">
        <f>SUM(F458)</f>
        <v>12401277.470000001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354668.27</v>
      </c>
      <c r="H618" s="104">
        <f>SUM(G458)</f>
        <v>354668.27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242202.23999999999</v>
      </c>
      <c r="H619" s="104">
        <f>SUM(H458)</f>
        <v>242202.23999999999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167.36</v>
      </c>
      <c r="H621" s="104">
        <f>SUM(J458)</f>
        <v>167.36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12296306.790000001</v>
      </c>
      <c r="H622" s="104">
        <f>SUM(F462)</f>
        <v>12296306.789999999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238690.08000000005</v>
      </c>
      <c r="H623" s="104">
        <f>SUM(H462)</f>
        <v>238690.08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124.14</v>
      </c>
      <c r="H624" s="104">
        <f>I361</f>
        <v>124.14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358661.53</v>
      </c>
      <c r="H625" s="104">
        <f>SUM(G462)</f>
        <v>358661.53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167.36</v>
      </c>
      <c r="H627" s="164">
        <f>SUM(J458)</f>
        <v>167.36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83115.899999999994</v>
      </c>
      <c r="H628" s="164">
        <f>SUM(J462)</f>
        <v>83115.899999999994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335036.34000000003</v>
      </c>
      <c r="H630" s="104">
        <f>SUM(G451)</f>
        <v>335036.33999999997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335036.34000000003</v>
      </c>
      <c r="H632" s="104">
        <f>SUM(I451)</f>
        <v>335036.33999999997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167.36</v>
      </c>
      <c r="H634" s="104">
        <f>H400</f>
        <v>167.36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167.36</v>
      </c>
      <c r="H636" s="104">
        <f>L400</f>
        <v>167.36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660492.76</v>
      </c>
      <c r="H637" s="104">
        <f>L200+L218+L236</f>
        <v>660492.76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123279.87</v>
      </c>
      <c r="H638" s="104">
        <f>(J249+J330)-(J247+J328)</f>
        <v>123279.86999999998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394619.15</v>
      </c>
      <c r="H639" s="104">
        <f>H588</f>
        <v>394619.15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265873.61</v>
      </c>
      <c r="H640" s="104">
        <f>I588</f>
        <v>265873.61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5679748.3800000018</v>
      </c>
      <c r="G650" s="19">
        <f>(L221+L301+L351)</f>
        <v>5756660.0199999996</v>
      </c>
      <c r="H650" s="19">
        <f>(L239+L320+L352)</f>
        <v>0</v>
      </c>
      <c r="I650" s="19">
        <f>SUM(F650:H650)</f>
        <v>11436408.400000002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131481.18163524507</v>
      </c>
      <c r="G651" s="19">
        <f>(L351/IF(SUM(L350:L352)=0,1,SUM(L350:L352))*(SUM(G89:G102)))</f>
        <v>127300.90836475493</v>
      </c>
      <c r="H651" s="19">
        <f>(L352/IF(SUM(L350:L352)=0,1,SUM(L350:L352))*(SUM(G89:G102)))</f>
        <v>0</v>
      </c>
      <c r="I651" s="19">
        <f>SUM(F651:H651)</f>
        <v>258782.09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394619.15</v>
      </c>
      <c r="G652" s="19">
        <f>(L218+L298)-(J218+J298)</f>
        <v>265873.61</v>
      </c>
      <c r="H652" s="19">
        <f>(L236+L317)-(J236+J317)</f>
        <v>0</v>
      </c>
      <c r="I652" s="19">
        <f>SUM(F652:H652)</f>
        <v>660492.76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78482.31</v>
      </c>
      <c r="G653" s="200">
        <f>SUM(G565:G577)+SUM(I592:I594)+L602</f>
        <v>93506.7</v>
      </c>
      <c r="H653" s="200">
        <f>SUM(H565:H577)+SUM(J592:J594)+L603</f>
        <v>0</v>
      </c>
      <c r="I653" s="19">
        <f>SUM(F653:H653)</f>
        <v>171989.01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5075165.7383647561</v>
      </c>
      <c r="G654" s="19">
        <f>G650-SUM(G651:G653)</f>
        <v>5269978.8016352449</v>
      </c>
      <c r="H654" s="19">
        <f>H650-SUM(H651:H653)</f>
        <v>0</v>
      </c>
      <c r="I654" s="19">
        <f>I650-SUM(I651:I653)</f>
        <v>10345144.540000003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510.26</v>
      </c>
      <c r="G655" s="249">
        <v>510.52</v>
      </c>
      <c r="H655" s="249"/>
      <c r="I655" s="19">
        <f>SUM(F655:H655)</f>
        <v>1020.78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9946.23</v>
      </c>
      <c r="G657" s="19">
        <f>ROUND(G654/G655,2)</f>
        <v>10322.77</v>
      </c>
      <c r="H657" s="19" t="e">
        <f>ROUND(H654/H655,2)</f>
        <v>#DIV/0!</v>
      </c>
      <c r="I657" s="19">
        <f>ROUND(I654/I655,2)</f>
        <v>10134.549999999999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9946.23</v>
      </c>
      <c r="G662" s="19">
        <f>ROUND((G654+G659)/(G655+G660),2)</f>
        <v>10322.77</v>
      </c>
      <c r="H662" s="19" t="e">
        <f>ROUND((H654+H659)/(H655+H660),2)</f>
        <v>#DIV/0!</v>
      </c>
      <c r="I662" s="19">
        <f>ROUND((I654+I659)/(I655+I660),2)</f>
        <v>10134.549999999999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CAD3-97C3-4723-98B9-219C1267757C}">
  <sheetPr>
    <tabColor indexed="20"/>
  </sheetPr>
  <dimension ref="A1:C52"/>
  <sheetViews>
    <sheetView workbookViewId="0">
      <selection activeCell="B19" sqref="B19: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Weare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3013548.84</v>
      </c>
      <c r="C9" s="230">
        <f>'DOE25'!G189+'DOE25'!G207+'DOE25'!G225+'DOE25'!G268+'DOE25'!G287+'DOE25'!G306</f>
        <v>1339734.5499999998</v>
      </c>
    </row>
    <row r="10" spans="1:3" x14ac:dyDescent="0.2">
      <c r="A10" t="s">
        <v>810</v>
      </c>
      <c r="B10" s="241">
        <v>2822102.29</v>
      </c>
      <c r="C10" s="241">
        <v>1322991.92</v>
      </c>
    </row>
    <row r="11" spans="1:3" x14ac:dyDescent="0.2">
      <c r="A11" t="s">
        <v>811</v>
      </c>
      <c r="B11" s="241">
        <v>61270.55</v>
      </c>
      <c r="C11" s="241">
        <v>6783.55</v>
      </c>
    </row>
    <row r="12" spans="1:3" x14ac:dyDescent="0.2">
      <c r="A12" t="s">
        <v>812</v>
      </c>
      <c r="B12" s="241">
        <v>130176</v>
      </c>
      <c r="C12" s="241">
        <v>9959.08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3013548.84</v>
      </c>
      <c r="C13" s="232">
        <f>SUM(C10:C12)</f>
        <v>1339734.55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1331222.45</v>
      </c>
      <c r="C18" s="230">
        <f>'DOE25'!G190+'DOE25'!G208+'DOE25'!G226+'DOE25'!G269+'DOE25'!G288+'DOE25'!G307</f>
        <v>306497.56999999995</v>
      </c>
    </row>
    <row r="19" spans="1:3" x14ac:dyDescent="0.2">
      <c r="A19" t="s">
        <v>810</v>
      </c>
      <c r="B19" s="241">
        <v>570239.9</v>
      </c>
      <c r="C19" s="241">
        <v>226492.25</v>
      </c>
    </row>
    <row r="20" spans="1:3" x14ac:dyDescent="0.2">
      <c r="A20" t="s">
        <v>811</v>
      </c>
      <c r="B20" s="241">
        <v>710965.2</v>
      </c>
      <c r="C20" s="241">
        <v>63201.26</v>
      </c>
    </row>
    <row r="21" spans="1:3" x14ac:dyDescent="0.2">
      <c r="A21" t="s">
        <v>812</v>
      </c>
      <c r="B21" s="241">
        <v>50017.35</v>
      </c>
      <c r="C21" s="241">
        <v>16804.060000000001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1331222.4500000002</v>
      </c>
      <c r="C22" s="232">
        <f>SUM(C19:C21)</f>
        <v>306497.57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90333.950000000012</v>
      </c>
      <c r="C36" s="236">
        <f>'DOE25'!G192+'DOE25'!G210+'DOE25'!G228+'DOE25'!G271+'DOE25'!G290+'DOE25'!G309</f>
        <v>9740.1</v>
      </c>
    </row>
    <row r="37" spans="1:3" x14ac:dyDescent="0.2">
      <c r="A37" t="s">
        <v>810</v>
      </c>
      <c r="B37" s="241">
        <v>45945.49</v>
      </c>
      <c r="C37" s="241">
        <v>6525.87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44388.46</v>
      </c>
      <c r="C39" s="241">
        <v>3214.23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90333.95</v>
      </c>
      <c r="C40" s="232">
        <f>SUM(C37:C39)</f>
        <v>9740.1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97F2-925C-42DC-8432-E917AFED4C53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Weare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6399482.5499999998</v>
      </c>
      <c r="D5" s="20">
        <f>SUM('DOE25'!L189:L192)+SUM('DOE25'!L207:L210)+SUM('DOE25'!L225:L228)-F5-G5</f>
        <v>6330805.1799999997</v>
      </c>
      <c r="E5" s="244"/>
      <c r="F5" s="256">
        <f>SUM('DOE25'!J189:J192)+SUM('DOE25'!J207:J210)+SUM('DOE25'!J225:J228)</f>
        <v>56214.14</v>
      </c>
      <c r="G5" s="53">
        <f>SUM('DOE25'!K189:K192)+SUM('DOE25'!K207:K210)+SUM('DOE25'!K225:K228)</f>
        <v>12463.23</v>
      </c>
      <c r="H5" s="260"/>
    </row>
    <row r="6" spans="1:9" x14ac:dyDescent="0.2">
      <c r="A6" s="32">
        <v>2100</v>
      </c>
      <c r="B6" t="s">
        <v>832</v>
      </c>
      <c r="C6" s="246">
        <f t="shared" si="0"/>
        <v>806779.03</v>
      </c>
      <c r="D6" s="20">
        <f>'DOE25'!L194+'DOE25'!L212+'DOE25'!L230-F6-G6</f>
        <v>802998.26</v>
      </c>
      <c r="E6" s="244"/>
      <c r="F6" s="256">
        <f>'DOE25'!J194+'DOE25'!J212+'DOE25'!J230</f>
        <v>3780.7700000000004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409024.67</v>
      </c>
      <c r="D7" s="20">
        <f>'DOE25'!L195+'DOE25'!L213+'DOE25'!L231-F7-G7</f>
        <v>358675.36</v>
      </c>
      <c r="E7" s="244"/>
      <c r="F7" s="256">
        <f>'DOE25'!J195+'DOE25'!J213+'DOE25'!J231</f>
        <v>50349.31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347538.37</v>
      </c>
      <c r="D8" s="244"/>
      <c r="E8" s="20">
        <f>'DOE25'!L196+'DOE25'!L214+'DOE25'!L232-F8-G8-D9-D11</f>
        <v>337918.02999999997</v>
      </c>
      <c r="F8" s="256">
        <f>'DOE25'!J196+'DOE25'!J214+'DOE25'!J232</f>
        <v>0</v>
      </c>
      <c r="G8" s="53">
        <f>'DOE25'!K196+'DOE25'!K214+'DOE25'!K232</f>
        <v>9620.34</v>
      </c>
      <c r="H8" s="260"/>
    </row>
    <row r="9" spans="1:9" x14ac:dyDescent="0.2">
      <c r="A9" s="32">
        <v>2310</v>
      </c>
      <c r="B9" t="s">
        <v>849</v>
      </c>
      <c r="C9" s="246">
        <f t="shared" si="0"/>
        <v>97392.14</v>
      </c>
      <c r="D9" s="245">
        <v>97392.14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6550</v>
      </c>
      <c r="D10" s="244"/>
      <c r="E10" s="245">
        <v>6550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132522.45000000001</v>
      </c>
      <c r="D11" s="245">
        <v>132522.45000000001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713613.58000000007</v>
      </c>
      <c r="D12" s="20">
        <f>'DOE25'!L197+'DOE25'!L215+'DOE25'!L233-F12-G12</f>
        <v>712328.69000000006</v>
      </c>
      <c r="E12" s="244"/>
      <c r="F12" s="256">
        <f>'DOE25'!J197+'DOE25'!J215+'DOE25'!J233</f>
        <v>0</v>
      </c>
      <c r="G12" s="53">
        <f>'DOE25'!K197+'DOE25'!K215+'DOE25'!K233</f>
        <v>1284.8899999999999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1273711.24</v>
      </c>
      <c r="D14" s="20">
        <f>'DOE25'!L199+'DOE25'!L217+'DOE25'!L235-F14-G14</f>
        <v>1263761.71</v>
      </c>
      <c r="E14" s="244"/>
      <c r="F14" s="256">
        <f>'DOE25'!J199+'DOE25'!J217+'DOE25'!J235</f>
        <v>9949.5299999999988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660492.76</v>
      </c>
      <c r="D15" s="20">
        <f>'DOE25'!L200+'DOE25'!L218+'DOE25'!L236-F15-G15</f>
        <v>660492.76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1455750</v>
      </c>
      <c r="D25" s="244"/>
      <c r="E25" s="244"/>
      <c r="F25" s="259"/>
      <c r="G25" s="257"/>
      <c r="H25" s="258">
        <f>'DOE25'!L252+'DOE25'!L253+'DOE25'!L333+'DOE25'!L334</f>
        <v>1455750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358661.53</v>
      </c>
      <c r="D29" s="20">
        <f>'DOE25'!L350+'DOE25'!L351+'DOE25'!L352-'DOE25'!I359-F29-G29</f>
        <v>353046.60000000003</v>
      </c>
      <c r="E29" s="244"/>
      <c r="F29" s="256">
        <f>'DOE25'!J350+'DOE25'!J351+'DOE25'!J352</f>
        <v>0</v>
      </c>
      <c r="G29" s="53">
        <f>'DOE25'!K350+'DOE25'!K351+'DOE25'!K352</f>
        <v>5614.93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238690.08000000005</v>
      </c>
      <c r="D31" s="20">
        <f>'DOE25'!L282+'DOE25'!L301+'DOE25'!L320+'DOE25'!L325+'DOE25'!L326+'DOE25'!L327-F31-G31</f>
        <v>231347.61000000004</v>
      </c>
      <c r="E31" s="244"/>
      <c r="F31" s="256">
        <f>'DOE25'!J282+'DOE25'!J301+'DOE25'!J320+'DOE25'!J325+'DOE25'!J326+'DOE25'!J327</f>
        <v>2986.12</v>
      </c>
      <c r="G31" s="53">
        <f>'DOE25'!K282+'DOE25'!K301+'DOE25'!K320+'DOE25'!K325+'DOE25'!K326+'DOE25'!K327</f>
        <v>4356.3500000000004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10943370.759999998</v>
      </c>
      <c r="E33" s="247">
        <f>SUM(E5:E31)</f>
        <v>344468.02999999997</v>
      </c>
      <c r="F33" s="247">
        <f>SUM(F5:F31)</f>
        <v>123279.87</v>
      </c>
      <c r="G33" s="247">
        <f>SUM(G5:G31)</f>
        <v>33339.74</v>
      </c>
      <c r="H33" s="247">
        <f>SUM(H5:H31)</f>
        <v>1455750</v>
      </c>
    </row>
    <row r="35" spans="2:8" ht="12" thickBot="1" x14ac:dyDescent="0.25">
      <c r="B35" s="254" t="s">
        <v>878</v>
      </c>
      <c r="D35" s="255">
        <f>E33</f>
        <v>344468.02999999997</v>
      </c>
      <c r="E35" s="250"/>
    </row>
    <row r="36" spans="2:8" ht="12" thickTop="1" x14ac:dyDescent="0.2">
      <c r="B36" t="s">
        <v>846</v>
      </c>
      <c r="D36" s="20">
        <f>D33</f>
        <v>10943370.759999998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017-9CFE-4D81-95EA-552264912FC9}">
  <sheetPr transitionEvaluation="1" codeName="Sheet2">
    <tabColor indexed="10"/>
  </sheetPr>
  <dimension ref="A1:I156"/>
  <sheetViews>
    <sheetView zoomScale="75" workbookViewId="0">
      <pane ySplit="2" topLeftCell="A125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Weare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112012.6</v>
      </c>
      <c r="D9" s="95">
        <f>'DOE25'!G9</f>
        <v>-7902.91</v>
      </c>
      <c r="E9" s="95">
        <f>'DOE25'!H9</f>
        <v>-108142.32</v>
      </c>
      <c r="F9" s="95">
        <f>'DOE25'!I9</f>
        <v>0</v>
      </c>
      <c r="G9" s="95">
        <f>'DOE25'!J9</f>
        <v>335036.34000000003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83115.899999999994</v>
      </c>
      <c r="D13" s="95">
        <f>'DOE25'!G13</f>
        <v>18588.89</v>
      </c>
      <c r="E13" s="95">
        <f>'DOE25'!H13</f>
        <v>116224.07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14630.12</v>
      </c>
      <c r="D14" s="95">
        <f>'DOE25'!G14</f>
        <v>23907.94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209758.62</v>
      </c>
      <c r="D19" s="41">
        <f>SUM(D9:D18)</f>
        <v>34593.919999999998</v>
      </c>
      <c r="E19" s="41">
        <f>SUM(E9:E18)</f>
        <v>8081.75</v>
      </c>
      <c r="F19" s="41">
        <f>SUM(F9:F18)</f>
        <v>0</v>
      </c>
      <c r="G19" s="41">
        <f>SUM(G9:G18)</f>
        <v>335036.34000000003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35.24</v>
      </c>
      <c r="F23" s="95">
        <f>'DOE25'!I24</f>
        <v>0</v>
      </c>
      <c r="G23" s="95">
        <f>'DOE25'!J24</f>
        <v>83115.899999999994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25689.5</v>
      </c>
      <c r="D24" s="95">
        <f>'DOE25'!G25</f>
        <v>4934.33</v>
      </c>
      <c r="E24" s="95">
        <f>'DOE25'!H25</f>
        <v>1513.75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21497.5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18187.5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65374.5</v>
      </c>
      <c r="D32" s="41">
        <f>SUM(D22:D31)</f>
        <v>4934.33</v>
      </c>
      <c r="E32" s="41">
        <f>SUM(E22:E31)</f>
        <v>1548.99</v>
      </c>
      <c r="F32" s="41">
        <f>SUM(F22:F31)</f>
        <v>0</v>
      </c>
      <c r="G32" s="41">
        <f>SUM(G22:G31)</f>
        <v>83115.899999999994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75000</v>
      </c>
      <c r="D40" s="95">
        <f>'DOE25'!G41</f>
        <v>29659.59</v>
      </c>
      <c r="E40" s="95">
        <f>'DOE25'!H41</f>
        <v>6532.76</v>
      </c>
      <c r="F40" s="95">
        <f>'DOE25'!I41</f>
        <v>0</v>
      </c>
      <c r="G40" s="95">
        <f>'DOE25'!J41</f>
        <v>251920.44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69384.12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144384.12</v>
      </c>
      <c r="D42" s="41">
        <f>SUM(D34:D41)</f>
        <v>29659.59</v>
      </c>
      <c r="E42" s="41">
        <f>SUM(E34:E41)</f>
        <v>6532.76</v>
      </c>
      <c r="F42" s="41">
        <f>SUM(F34:F41)</f>
        <v>0</v>
      </c>
      <c r="G42" s="41">
        <f>SUM(G34:G41)</f>
        <v>251920.44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209758.62</v>
      </c>
      <c r="D43" s="41">
        <f>D42+D32</f>
        <v>34593.919999999998</v>
      </c>
      <c r="E43" s="41">
        <f>E42+E32</f>
        <v>8081.75</v>
      </c>
      <c r="F43" s="41">
        <f>F42+F32</f>
        <v>0</v>
      </c>
      <c r="G43" s="41">
        <f>G42+G32</f>
        <v>335036.33999999997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5384173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29246.67</v>
      </c>
      <c r="D49" s="24" t="s">
        <v>312</v>
      </c>
      <c r="E49" s="95">
        <f>'DOE25'!H71</f>
        <v>41362.5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58878.32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1819.3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167.36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234707.35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14216.289999999999</v>
      </c>
      <c r="D53" s="95">
        <f>SUM('DOE25'!G90:G102)</f>
        <v>24074.74</v>
      </c>
      <c r="E53" s="95">
        <f>SUM('DOE25'!H90:H102)</f>
        <v>2000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104160.57999999999</v>
      </c>
      <c r="D54" s="130">
        <f>SUM(D49:D53)</f>
        <v>258782.09</v>
      </c>
      <c r="E54" s="130">
        <f>SUM(E49:E53)</f>
        <v>43362.5</v>
      </c>
      <c r="F54" s="130">
        <f>SUM(F49:F53)</f>
        <v>0</v>
      </c>
      <c r="G54" s="130">
        <f>SUM(G49:G53)</f>
        <v>167.36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5488333.5800000001</v>
      </c>
      <c r="D55" s="22">
        <f>D48+D54</f>
        <v>258782.09</v>
      </c>
      <c r="E55" s="22">
        <f>E48+E54</f>
        <v>43362.5</v>
      </c>
      <c r="F55" s="22">
        <f>F48+F54</f>
        <v>0</v>
      </c>
      <c r="G55" s="22">
        <f>G48+G54</f>
        <v>167.36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5135021.2300000004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1161883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186245.77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6483150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385686.4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4508.8999999999996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385686.4</v>
      </c>
      <c r="D70" s="130">
        <f>SUM(D64:D69)</f>
        <v>4508.8999999999996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6868836.4000000004</v>
      </c>
      <c r="D73" s="130">
        <f>SUM(D71:D72)+D70+D62</f>
        <v>4508.8999999999996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44107.49</v>
      </c>
      <c r="D80" s="95">
        <f>SUM('DOE25'!G145:G153)</f>
        <v>91377.279999999999</v>
      </c>
      <c r="E80" s="95">
        <f>SUM('DOE25'!H145:H153)</f>
        <v>198839.74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44107.49</v>
      </c>
      <c r="D83" s="131">
        <f>SUM(D77:D82)</f>
        <v>91377.279999999999</v>
      </c>
      <c r="E83" s="131">
        <f>SUM(E77:E82)</f>
        <v>198839.74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12401277.470000001</v>
      </c>
      <c r="D96" s="86">
        <f>D55+D73+D83+D95</f>
        <v>354668.27</v>
      </c>
      <c r="E96" s="86">
        <f>E55+E73+E83+E95</f>
        <v>242202.23999999999</v>
      </c>
      <c r="F96" s="86">
        <f>F55+F73+F83+F95</f>
        <v>0</v>
      </c>
      <c r="G96" s="86">
        <f>G55+G73+G95</f>
        <v>167.36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4547912.9800000004</v>
      </c>
      <c r="D101" s="24" t="s">
        <v>312</v>
      </c>
      <c r="E101" s="95">
        <f>('DOE25'!L268)+('DOE25'!L287)+('DOE25'!L306)</f>
        <v>100473.14000000001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1784648.94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66920.63</v>
      </c>
      <c r="D104" s="24" t="s">
        <v>312</v>
      </c>
      <c r="E104" s="95">
        <f>+('DOE25'!L271)+('DOE25'!L290)+('DOE25'!L309)</f>
        <v>39850.340000000004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1500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6399482.5499999998</v>
      </c>
      <c r="D107" s="86">
        <f>SUM(D101:D106)</f>
        <v>0</v>
      </c>
      <c r="E107" s="86">
        <f>SUM(E101:E106)</f>
        <v>141823.48000000001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806779.03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409024.67</v>
      </c>
      <c r="D111" s="24" t="s">
        <v>312</v>
      </c>
      <c r="E111" s="95">
        <f>+('DOE25'!L274)+('DOE25'!L293)+('DOE25'!L312)</f>
        <v>92510.25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577452.96</v>
      </c>
      <c r="D112" s="24" t="s">
        <v>312</v>
      </c>
      <c r="E112" s="95">
        <f>+('DOE25'!L275)+('DOE25'!L294)+('DOE25'!L313)</f>
        <v>4356.3500000000004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713613.58000000007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1273711.24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660492.76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358661.53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4441074.24</v>
      </c>
      <c r="D120" s="86">
        <f>SUM(D110:D119)</f>
        <v>358661.53</v>
      </c>
      <c r="E120" s="86">
        <f>SUM(E110:E119)</f>
        <v>96866.6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900000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555750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28.02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139.34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-167.36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1455750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12296306.789999999</v>
      </c>
      <c r="D137" s="86">
        <f>(D107+D120+D136)</f>
        <v>358661.53</v>
      </c>
      <c r="E137" s="86">
        <f>(E107+E120+E136)</f>
        <v>238690.08000000002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6/23/05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8/1/25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18000000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14400000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14400000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900000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900000</v>
      </c>
    </row>
    <row r="151" spans="1:7" x14ac:dyDescent="0.2">
      <c r="A151" s="22" t="s">
        <v>35</v>
      </c>
      <c r="B151" s="137">
        <f>'DOE25'!F488</f>
        <v>13500000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13500000</v>
      </c>
    </row>
    <row r="152" spans="1:7" x14ac:dyDescent="0.2">
      <c r="A152" s="22" t="s">
        <v>36</v>
      </c>
      <c r="B152" s="137">
        <f>'DOE25'!F489</f>
        <v>4108500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4108500</v>
      </c>
    </row>
    <row r="153" spans="1:7" x14ac:dyDescent="0.2">
      <c r="A153" s="22" t="s">
        <v>37</v>
      </c>
      <c r="B153" s="137">
        <f>'DOE25'!F490</f>
        <v>17608500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17608500</v>
      </c>
    </row>
    <row r="154" spans="1:7" x14ac:dyDescent="0.2">
      <c r="A154" s="22" t="s">
        <v>38</v>
      </c>
      <c r="B154" s="137">
        <f>'DOE25'!F491</f>
        <v>900000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900000</v>
      </c>
    </row>
    <row r="155" spans="1:7" x14ac:dyDescent="0.2">
      <c r="A155" s="22" t="s">
        <v>39</v>
      </c>
      <c r="B155" s="137">
        <f>'DOE25'!F492</f>
        <v>523125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523125</v>
      </c>
    </row>
    <row r="156" spans="1:7" x14ac:dyDescent="0.2">
      <c r="A156" s="22" t="s">
        <v>269</v>
      </c>
      <c r="B156" s="137">
        <f>'DOE25'!F493</f>
        <v>1423125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1423125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6631-CE93-459C-97A9-EF0FA3E03933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Weare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9946</v>
      </c>
    </row>
    <row r="5" spans="1:4" x14ac:dyDescent="0.2">
      <c r="B5" t="s">
        <v>735</v>
      </c>
      <c r="C5" s="179">
        <f>IF('DOE25'!G655+'DOE25'!G660=0,0,ROUND('DOE25'!G662,0))</f>
        <v>10323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10135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4648386</v>
      </c>
      <c r="D10" s="182">
        <f>ROUND((C10/$C$28)*100,1)</f>
        <v>39.6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1784649</v>
      </c>
      <c r="D11" s="182">
        <f>ROUND((C11/$C$28)*100,1)</f>
        <v>15.2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106771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806779</v>
      </c>
      <c r="D15" s="182">
        <f t="shared" ref="D15:D27" si="0">ROUND((C15/$C$28)*100,1)</f>
        <v>6.9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501535</v>
      </c>
      <c r="D16" s="182">
        <f t="shared" si="0"/>
        <v>4.3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581809</v>
      </c>
      <c r="D17" s="182">
        <f t="shared" si="0"/>
        <v>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713614</v>
      </c>
      <c r="D18" s="182">
        <f t="shared" si="0"/>
        <v>6.1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1273711</v>
      </c>
      <c r="D20" s="182">
        <f t="shared" si="0"/>
        <v>10.9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660493</v>
      </c>
      <c r="D21" s="182">
        <f t="shared" si="0"/>
        <v>5.6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1500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555750</v>
      </c>
      <c r="D25" s="182">
        <f t="shared" si="0"/>
        <v>4.7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99879.91</v>
      </c>
      <c r="D27" s="182">
        <f t="shared" si="0"/>
        <v>0.9</v>
      </c>
    </row>
    <row r="28" spans="1:4" x14ac:dyDescent="0.2">
      <c r="B28" s="187" t="s">
        <v>754</v>
      </c>
      <c r="C28" s="180">
        <f>SUM(C10:C27)</f>
        <v>11734876.91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11734876.91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900000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5384173</v>
      </c>
      <c r="D35" s="182">
        <f t="shared" ref="D35:D40" si="1">ROUND((C35/$C$41)*100,1)</f>
        <v>42.3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147690.44000000041</v>
      </c>
      <c r="D36" s="182">
        <f t="shared" si="1"/>
        <v>1.2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6483150</v>
      </c>
      <c r="D37" s="182">
        <f t="shared" si="1"/>
        <v>50.9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390195</v>
      </c>
      <c r="D38" s="182">
        <f t="shared" si="1"/>
        <v>3.1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334325</v>
      </c>
      <c r="D39" s="182">
        <f t="shared" si="1"/>
        <v>2.6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12739533.440000001</v>
      </c>
      <c r="D41" s="184">
        <f>SUM(D35:D40)</f>
        <v>100.1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73A1-3F56-40AA-9B4A-23A5C66212F1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Weare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P39:CZ39"/>
    <mergeCell ref="BP39:BZ39"/>
    <mergeCell ref="CC39:CM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2011-11-02T12:46:56Z</cp:lastPrinted>
  <dcterms:created xsi:type="dcterms:W3CDTF">1997-12-04T19:04:30Z</dcterms:created>
  <dcterms:modified xsi:type="dcterms:W3CDTF">2025-01-16T15:39:33Z</dcterms:modified>
</cp:coreProperties>
</file>