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A1404F0F-4CB1-44BE-8DA5-FB820C8CBFD8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EC2659E8-6936-463E-AEF8-10298C80B863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01" i="1" l="1"/>
  <c r="F569" i="1"/>
  <c r="I569" i="1"/>
  <c r="H516" i="1"/>
  <c r="G511" i="1"/>
  <c r="F511" i="1"/>
  <c r="I511" i="1"/>
  <c r="H511" i="1"/>
  <c r="G514" i="1"/>
  <c r="G519" i="1"/>
  <c r="G524" i="1"/>
  <c r="G529" i="1"/>
  <c r="G534" i="1"/>
  <c r="G535" i="1"/>
  <c r="F514" i="1"/>
  <c r="G492" i="1"/>
  <c r="G489" i="1"/>
  <c r="F492" i="1"/>
  <c r="B155" i="2"/>
  <c r="J88" i="1"/>
  <c r="F102" i="1"/>
  <c r="F103" i="1"/>
  <c r="J458" i="1"/>
  <c r="H621" i="1"/>
  <c r="I350" i="1"/>
  <c r="H350" i="1"/>
  <c r="G350" i="1"/>
  <c r="H274" i="1"/>
  <c r="L274" i="1"/>
  <c r="L293" i="1"/>
  <c r="L312" i="1"/>
  <c r="E111" i="2"/>
  <c r="I269" i="1"/>
  <c r="G269" i="1"/>
  <c r="L269" i="1"/>
  <c r="L288" i="1"/>
  <c r="L307" i="1"/>
  <c r="E102" i="2"/>
  <c r="C18" i="12"/>
  <c r="J268" i="1"/>
  <c r="J282" i="1"/>
  <c r="I268" i="1"/>
  <c r="G268" i="1"/>
  <c r="F268" i="1"/>
  <c r="I197" i="1"/>
  <c r="I195" i="1"/>
  <c r="H196" i="1"/>
  <c r="H200" i="1"/>
  <c r="H194" i="1"/>
  <c r="G196" i="1"/>
  <c r="G195" i="1"/>
  <c r="G194" i="1"/>
  <c r="F196" i="1"/>
  <c r="F195" i="1"/>
  <c r="F194" i="1"/>
  <c r="L194" i="1"/>
  <c r="H151" i="1"/>
  <c r="H146" i="1"/>
  <c r="H142" i="1"/>
  <c r="G89" i="1"/>
  <c r="F9" i="1"/>
  <c r="C37" i="10"/>
  <c r="C60" i="2"/>
  <c r="B2" i="13"/>
  <c r="F8" i="13"/>
  <c r="G8" i="13"/>
  <c r="L196" i="1"/>
  <c r="L214" i="1"/>
  <c r="L232" i="1"/>
  <c r="D39" i="13"/>
  <c r="F13" i="13"/>
  <c r="G13" i="13"/>
  <c r="L198" i="1"/>
  <c r="L216" i="1"/>
  <c r="L234" i="1"/>
  <c r="C114" i="2"/>
  <c r="F16" i="13"/>
  <c r="G16" i="13"/>
  <c r="L201" i="1"/>
  <c r="L219" i="1"/>
  <c r="L237" i="1"/>
  <c r="E16" i="13"/>
  <c r="C16" i="13"/>
  <c r="F5" i="13"/>
  <c r="G5" i="13"/>
  <c r="L189" i="1"/>
  <c r="L190" i="1"/>
  <c r="L191" i="1"/>
  <c r="L192" i="1"/>
  <c r="L210" i="1"/>
  <c r="L228" i="1"/>
  <c r="C104" i="2"/>
  <c r="L207" i="1"/>
  <c r="L208" i="1"/>
  <c r="L209" i="1"/>
  <c r="L225" i="1"/>
  <c r="L226" i="1"/>
  <c r="L227" i="1"/>
  <c r="F6" i="13"/>
  <c r="G6" i="13"/>
  <c r="L212" i="1"/>
  <c r="L230" i="1"/>
  <c r="F7" i="13"/>
  <c r="G7" i="13"/>
  <c r="L213" i="1"/>
  <c r="L231" i="1"/>
  <c r="F12" i="13"/>
  <c r="G12" i="13"/>
  <c r="L197" i="1"/>
  <c r="L215" i="1"/>
  <c r="L233" i="1"/>
  <c r="C113" i="2"/>
  <c r="F14" i="13"/>
  <c r="G14" i="13"/>
  <c r="L199" i="1"/>
  <c r="L217" i="1"/>
  <c r="L235" i="1"/>
  <c r="C115" i="2"/>
  <c r="F15" i="13"/>
  <c r="G15" i="13"/>
  <c r="L200" i="1"/>
  <c r="L218" i="1"/>
  <c r="L236" i="1"/>
  <c r="F17" i="13"/>
  <c r="G17" i="13"/>
  <c r="L243" i="1"/>
  <c r="F18" i="13"/>
  <c r="G18" i="13"/>
  <c r="L244" i="1"/>
  <c r="D18" i="13"/>
  <c r="C18" i="13"/>
  <c r="F19" i="13"/>
  <c r="G19" i="13"/>
  <c r="L245" i="1"/>
  <c r="D19" i="13"/>
  <c r="C19" i="13"/>
  <c r="F29" i="13"/>
  <c r="G29" i="13"/>
  <c r="L351" i="1"/>
  <c r="L352" i="1"/>
  <c r="I359" i="1"/>
  <c r="J301" i="1"/>
  <c r="J320" i="1"/>
  <c r="K282" i="1"/>
  <c r="K301" i="1"/>
  <c r="K320" i="1"/>
  <c r="G31" i="13"/>
  <c r="L270" i="1"/>
  <c r="L271" i="1"/>
  <c r="L273" i="1"/>
  <c r="L275" i="1"/>
  <c r="L294" i="1"/>
  <c r="L313" i="1"/>
  <c r="E112" i="2"/>
  <c r="L276" i="1"/>
  <c r="L277" i="1"/>
  <c r="L278" i="1"/>
  <c r="L297" i="1"/>
  <c r="L316" i="1"/>
  <c r="E115" i="2"/>
  <c r="L279" i="1"/>
  <c r="L280" i="1"/>
  <c r="L287" i="1"/>
  <c r="L289" i="1"/>
  <c r="L290" i="1"/>
  <c r="L292" i="1"/>
  <c r="L295" i="1"/>
  <c r="L314" i="1"/>
  <c r="E113" i="2"/>
  <c r="L296" i="1"/>
  <c r="L298" i="1"/>
  <c r="L299" i="1"/>
  <c r="L318" i="1"/>
  <c r="E117" i="2"/>
  <c r="L306" i="1"/>
  <c r="L308" i="1"/>
  <c r="L309" i="1"/>
  <c r="L311" i="1"/>
  <c r="L315" i="1"/>
  <c r="L317" i="1"/>
  <c r="L320" i="1"/>
  <c r="L325" i="1"/>
  <c r="L326" i="1"/>
  <c r="L327" i="1"/>
  <c r="E106" i="2"/>
  <c r="L252" i="1"/>
  <c r="L333" i="1"/>
  <c r="C32" i="10"/>
  <c r="L253" i="1"/>
  <c r="L334" i="1"/>
  <c r="L247" i="1"/>
  <c r="L328" i="1"/>
  <c r="C11" i="13"/>
  <c r="C10" i="13"/>
  <c r="C9" i="13"/>
  <c r="L353" i="1"/>
  <c r="B4" i="12"/>
  <c r="B36" i="12"/>
  <c r="C36" i="12"/>
  <c r="B40" i="12"/>
  <c r="C40" i="12"/>
  <c r="A40" i="12"/>
  <c r="B27" i="12"/>
  <c r="C27" i="12"/>
  <c r="B31" i="12"/>
  <c r="C31" i="12"/>
  <c r="A31" i="12"/>
  <c r="B13" i="12"/>
  <c r="C9" i="12"/>
  <c r="C13" i="12"/>
  <c r="B18" i="12"/>
  <c r="B22" i="12"/>
  <c r="C22" i="12"/>
  <c r="B1" i="12"/>
  <c r="L379" i="1"/>
  <c r="L380" i="1"/>
  <c r="L381" i="1"/>
  <c r="L382" i="1"/>
  <c r="L383" i="1"/>
  <c r="L384" i="1"/>
  <c r="L385" i="1"/>
  <c r="C130" i="2"/>
  <c r="L387" i="1"/>
  <c r="L388" i="1"/>
  <c r="L389" i="1"/>
  <c r="L390" i="1"/>
  <c r="L391" i="1"/>
  <c r="L392" i="1"/>
  <c r="L393" i="1"/>
  <c r="C131" i="2"/>
  <c r="L395" i="1"/>
  <c r="L396" i="1"/>
  <c r="L397" i="1"/>
  <c r="L398" i="1"/>
  <c r="L399" i="1"/>
  <c r="C132" i="2"/>
  <c r="L258" i="1"/>
  <c r="J52" i="1"/>
  <c r="G48" i="2"/>
  <c r="G51" i="2"/>
  <c r="G53" i="2"/>
  <c r="G54" i="2"/>
  <c r="G55" i="2"/>
  <c r="F2" i="11"/>
  <c r="L603" i="1"/>
  <c r="H653" i="1"/>
  <c r="L602" i="1"/>
  <c r="G653" i="1"/>
  <c r="L601" i="1"/>
  <c r="F653" i="1"/>
  <c r="C40" i="10"/>
  <c r="F52" i="1"/>
  <c r="C48" i="2"/>
  <c r="G52" i="1"/>
  <c r="H52" i="1"/>
  <c r="E48" i="2"/>
  <c r="I52" i="1"/>
  <c r="F71" i="1"/>
  <c r="C49" i="2"/>
  <c r="F86" i="1"/>
  <c r="C50" i="2"/>
  <c r="G103" i="1"/>
  <c r="G104" i="1"/>
  <c r="H71" i="1"/>
  <c r="H86" i="1"/>
  <c r="H103" i="1"/>
  <c r="I103" i="1"/>
  <c r="I104" i="1"/>
  <c r="J103" i="1"/>
  <c r="J104" i="1"/>
  <c r="F113" i="1"/>
  <c r="F128" i="1"/>
  <c r="F132" i="1"/>
  <c r="G113" i="1"/>
  <c r="G128" i="1"/>
  <c r="G132" i="1"/>
  <c r="H113" i="1"/>
  <c r="H128" i="1"/>
  <c r="H132" i="1"/>
  <c r="I113" i="1"/>
  <c r="I128" i="1"/>
  <c r="I132" i="1"/>
  <c r="J113" i="1"/>
  <c r="J128" i="1"/>
  <c r="J132" i="1"/>
  <c r="F139" i="1"/>
  <c r="F154" i="1"/>
  <c r="G139" i="1"/>
  <c r="G154" i="1"/>
  <c r="G161" i="1"/>
  <c r="H139" i="1"/>
  <c r="H154" i="1"/>
  <c r="I139" i="1"/>
  <c r="I154" i="1"/>
  <c r="I161" i="1"/>
  <c r="L242" i="1"/>
  <c r="L324" i="1"/>
  <c r="L246" i="1"/>
  <c r="L260" i="1"/>
  <c r="L261" i="1"/>
  <c r="L341" i="1"/>
  <c r="L342" i="1"/>
  <c r="C26" i="10"/>
  <c r="I655" i="1"/>
  <c r="I660" i="1"/>
  <c r="F652" i="1"/>
  <c r="G652" i="1"/>
  <c r="I659" i="1"/>
  <c r="C6" i="10"/>
  <c r="C5" i="10"/>
  <c r="C42" i="10"/>
  <c r="L366" i="1"/>
  <c r="L367" i="1"/>
  <c r="L368" i="1"/>
  <c r="L369" i="1"/>
  <c r="L370" i="1"/>
  <c r="L371" i="1"/>
  <c r="L372" i="1"/>
  <c r="F122" i="2"/>
  <c r="F126" i="2"/>
  <c r="F136" i="2"/>
  <c r="F120" i="2"/>
  <c r="F107" i="2"/>
  <c r="F137" i="2"/>
  <c r="B2" i="10"/>
  <c r="L336" i="1"/>
  <c r="E126" i="2"/>
  <c r="L337" i="1"/>
  <c r="L338" i="1"/>
  <c r="L339" i="1"/>
  <c r="K343" i="1"/>
  <c r="L512" i="1"/>
  <c r="F540" i="1"/>
  <c r="L513" i="1"/>
  <c r="F541" i="1"/>
  <c r="L516" i="1"/>
  <c r="G539" i="1"/>
  <c r="L517" i="1"/>
  <c r="G540" i="1"/>
  <c r="L518" i="1"/>
  <c r="G541" i="1"/>
  <c r="G542" i="1"/>
  <c r="L521" i="1"/>
  <c r="H539" i="1"/>
  <c r="L522" i="1"/>
  <c r="L523" i="1"/>
  <c r="H541" i="1"/>
  <c r="L526" i="1"/>
  <c r="I539" i="1"/>
  <c r="L527" i="1"/>
  <c r="I540" i="1"/>
  <c r="L528" i="1"/>
  <c r="I541" i="1"/>
  <c r="I542" i="1"/>
  <c r="L531" i="1"/>
  <c r="J539" i="1"/>
  <c r="L532" i="1"/>
  <c r="J540" i="1"/>
  <c r="L533" i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D9" i="2"/>
  <c r="E9" i="2"/>
  <c r="F9" i="2"/>
  <c r="I431" i="1"/>
  <c r="J9" i="1"/>
  <c r="C10" i="2"/>
  <c r="D10" i="2"/>
  <c r="E10" i="2"/>
  <c r="F10" i="2"/>
  <c r="I432" i="1"/>
  <c r="J10" i="1"/>
  <c r="G10" i="2"/>
  <c r="C11" i="2"/>
  <c r="C12" i="2"/>
  <c r="D12" i="2"/>
  <c r="E12" i="2"/>
  <c r="F12" i="2"/>
  <c r="I433" i="1"/>
  <c r="J12" i="1"/>
  <c r="G12" i="2"/>
  <c r="C13" i="2"/>
  <c r="D13" i="2"/>
  <c r="E13" i="2"/>
  <c r="E14" i="2"/>
  <c r="E16" i="2"/>
  <c r="E17" i="2"/>
  <c r="E18" i="2"/>
  <c r="E19" i="2"/>
  <c r="F13" i="2"/>
  <c r="I434" i="1"/>
  <c r="J13" i="1"/>
  <c r="G13" i="2"/>
  <c r="C14" i="2"/>
  <c r="D14" i="2"/>
  <c r="F14" i="2"/>
  <c r="I435" i="1"/>
  <c r="F15" i="2"/>
  <c r="C16" i="2"/>
  <c r="D16" i="2"/>
  <c r="F16" i="2"/>
  <c r="C17" i="2"/>
  <c r="D17" i="2"/>
  <c r="F17" i="2"/>
  <c r="I436" i="1"/>
  <c r="J17" i="1"/>
  <c r="G17" i="2"/>
  <c r="C18" i="2"/>
  <c r="D18" i="2"/>
  <c r="F18" i="2"/>
  <c r="I437" i="1"/>
  <c r="J18" i="1"/>
  <c r="G18" i="2"/>
  <c r="C22" i="2"/>
  <c r="D22" i="2"/>
  <c r="E22" i="2"/>
  <c r="F22" i="2"/>
  <c r="I440" i="1"/>
  <c r="J23" i="1"/>
  <c r="G22" i="2"/>
  <c r="C23" i="2"/>
  <c r="D23" i="2"/>
  <c r="E23" i="2"/>
  <c r="F23" i="2"/>
  <c r="I441" i="1"/>
  <c r="C24" i="2"/>
  <c r="D24" i="2"/>
  <c r="E24" i="2"/>
  <c r="F24" i="2"/>
  <c r="F25" i="2"/>
  <c r="F26" i="2"/>
  <c r="F27" i="2"/>
  <c r="F28" i="2"/>
  <c r="F29" i="2"/>
  <c r="F30" i="2"/>
  <c r="F31" i="2"/>
  <c r="F32" i="2"/>
  <c r="I442" i="1"/>
  <c r="J25" i="1"/>
  <c r="G24" i="2"/>
  <c r="C25" i="2"/>
  <c r="D25" i="2"/>
  <c r="E25" i="2"/>
  <c r="C26" i="2"/>
  <c r="C27" i="2"/>
  <c r="C28" i="2"/>
  <c r="D28" i="2"/>
  <c r="E28" i="2"/>
  <c r="C29" i="2"/>
  <c r="D29" i="2"/>
  <c r="E29" i="2"/>
  <c r="C30" i="2"/>
  <c r="D30" i="2"/>
  <c r="E30" i="2"/>
  <c r="C31" i="2"/>
  <c r="D31" i="2"/>
  <c r="E31" i="2"/>
  <c r="I443" i="1"/>
  <c r="J32" i="1"/>
  <c r="G31" i="2"/>
  <c r="C34" i="2"/>
  <c r="D34" i="2"/>
  <c r="E34" i="2"/>
  <c r="F34" i="2"/>
  <c r="C35" i="2"/>
  <c r="D35" i="2"/>
  <c r="E35" i="2"/>
  <c r="F35" i="2"/>
  <c r="C36" i="2"/>
  <c r="D36" i="2"/>
  <c r="E36" i="2"/>
  <c r="F36" i="2"/>
  <c r="F37" i="2"/>
  <c r="F38" i="2"/>
  <c r="F40" i="2"/>
  <c r="F41" i="2"/>
  <c r="F42" i="2"/>
  <c r="I446" i="1"/>
  <c r="J37" i="1"/>
  <c r="C37" i="2"/>
  <c r="D37" i="2"/>
  <c r="E37" i="2"/>
  <c r="I447" i="1"/>
  <c r="C38" i="2"/>
  <c r="D38" i="2"/>
  <c r="E38" i="2"/>
  <c r="I448" i="1"/>
  <c r="J40" i="1"/>
  <c r="G39" i="2"/>
  <c r="C40" i="2"/>
  <c r="D40" i="2"/>
  <c r="E40" i="2"/>
  <c r="I449" i="1"/>
  <c r="J41" i="1"/>
  <c r="G40" i="2"/>
  <c r="C41" i="2"/>
  <c r="D41" i="2"/>
  <c r="E41" i="2"/>
  <c r="D48" i="2"/>
  <c r="F48" i="2"/>
  <c r="E49" i="2"/>
  <c r="E50" i="2"/>
  <c r="E51" i="2"/>
  <c r="E53" i="2"/>
  <c r="E54" i="2"/>
  <c r="E55" i="2"/>
  <c r="C51" i="2"/>
  <c r="D51" i="2"/>
  <c r="D52" i="2"/>
  <c r="D53" i="2"/>
  <c r="D54" i="2"/>
  <c r="F51" i="2"/>
  <c r="F53" i="2"/>
  <c r="F54" i="2"/>
  <c r="C53" i="2"/>
  <c r="C58" i="2"/>
  <c r="C59" i="2"/>
  <c r="C61" i="2"/>
  <c r="D61" i="2"/>
  <c r="D62" i="2"/>
  <c r="E61" i="2"/>
  <c r="E62" i="2"/>
  <c r="F61" i="2"/>
  <c r="G61" i="2"/>
  <c r="G62" i="2"/>
  <c r="G69" i="2"/>
  <c r="G70" i="2"/>
  <c r="G73" i="2"/>
  <c r="F62" i="2"/>
  <c r="C64" i="2"/>
  <c r="F64" i="2"/>
  <c r="F65" i="2"/>
  <c r="F68" i="2"/>
  <c r="F69" i="2"/>
  <c r="F70" i="2"/>
  <c r="F73" i="2"/>
  <c r="C65" i="2"/>
  <c r="C66" i="2"/>
  <c r="C67" i="2"/>
  <c r="C68" i="2"/>
  <c r="E68" i="2"/>
  <c r="C69" i="2"/>
  <c r="D69" i="2"/>
  <c r="D70" i="2"/>
  <c r="D71" i="2"/>
  <c r="D73" i="2"/>
  <c r="E69" i="2"/>
  <c r="E70" i="2"/>
  <c r="C71" i="2"/>
  <c r="E71" i="2"/>
  <c r="C72" i="2"/>
  <c r="E72" i="2"/>
  <c r="C77" i="2"/>
  <c r="E77" i="2"/>
  <c r="F77" i="2"/>
  <c r="F79" i="2"/>
  <c r="F80" i="2"/>
  <c r="F81" i="2"/>
  <c r="F83" i="2"/>
  <c r="C79" i="2"/>
  <c r="E79" i="2"/>
  <c r="C80" i="2"/>
  <c r="D80" i="2"/>
  <c r="E80" i="2"/>
  <c r="E81" i="2"/>
  <c r="E83" i="2"/>
  <c r="C81" i="2"/>
  <c r="D81" i="2"/>
  <c r="C82" i="2"/>
  <c r="C85" i="2"/>
  <c r="C86" i="2"/>
  <c r="C89" i="2"/>
  <c r="C90" i="2"/>
  <c r="C91" i="2"/>
  <c r="C92" i="2"/>
  <c r="C93" i="2"/>
  <c r="C94" i="2"/>
  <c r="C95" i="2"/>
  <c r="F85" i="2"/>
  <c r="F86" i="2"/>
  <c r="D88" i="2"/>
  <c r="D89" i="2"/>
  <c r="D90" i="2"/>
  <c r="D91" i="2"/>
  <c r="D92" i="2"/>
  <c r="D93" i="2"/>
  <c r="D94" i="2"/>
  <c r="D95" i="2"/>
  <c r="E88" i="2"/>
  <c r="E89" i="2"/>
  <c r="E90" i="2"/>
  <c r="E91" i="2"/>
  <c r="E92" i="2"/>
  <c r="E93" i="2"/>
  <c r="E94" i="2"/>
  <c r="E95" i="2"/>
  <c r="F88" i="2"/>
  <c r="G88" i="2"/>
  <c r="F89" i="2"/>
  <c r="G89" i="2"/>
  <c r="G90" i="2"/>
  <c r="F91" i="2"/>
  <c r="F92" i="2"/>
  <c r="F93" i="2"/>
  <c r="F94" i="2"/>
  <c r="C103" i="2"/>
  <c r="C105" i="2"/>
  <c r="C106" i="2"/>
  <c r="D107" i="2"/>
  <c r="G107" i="2"/>
  <c r="E116" i="2"/>
  <c r="G120" i="2"/>
  <c r="E122" i="2"/>
  <c r="E127" i="2"/>
  <c r="E129" i="2"/>
  <c r="E134" i="2"/>
  <c r="E135" i="2"/>
  <c r="E136" i="2"/>
  <c r="D126" i="2"/>
  <c r="D136" i="2"/>
  <c r="K411" i="1"/>
  <c r="K419" i="1"/>
  <c r="K425" i="1"/>
  <c r="K426" i="1"/>
  <c r="G126" i="2"/>
  <c r="G136" i="2"/>
  <c r="L255" i="1"/>
  <c r="C127" i="2"/>
  <c r="L256" i="1"/>
  <c r="C128" i="2"/>
  <c r="L257" i="1"/>
  <c r="C129" i="2"/>
  <c r="C134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B149" i="2"/>
  <c r="C149" i="2"/>
  <c r="D149" i="2"/>
  <c r="E149" i="2"/>
  <c r="F149" i="2"/>
  <c r="B150" i="2"/>
  <c r="C150" i="2"/>
  <c r="D150" i="2"/>
  <c r="E150" i="2"/>
  <c r="F150" i="2"/>
  <c r="B151" i="2"/>
  <c r="C151" i="2"/>
  <c r="D151" i="2"/>
  <c r="E151" i="2"/>
  <c r="F151" i="2"/>
  <c r="G151" i="2"/>
  <c r="B152" i="2"/>
  <c r="C152" i="2"/>
  <c r="D152" i="2"/>
  <c r="E152" i="2"/>
  <c r="F152" i="2"/>
  <c r="F490" i="1"/>
  <c r="G490" i="1"/>
  <c r="C153" i="2"/>
  <c r="H490" i="1"/>
  <c r="D153" i="2"/>
  <c r="I490" i="1"/>
  <c r="E153" i="2"/>
  <c r="J490" i="1"/>
  <c r="F153" i="2"/>
  <c r="B154" i="2"/>
  <c r="C154" i="2"/>
  <c r="D154" i="2"/>
  <c r="E154" i="2"/>
  <c r="F154" i="2"/>
  <c r="G154" i="2"/>
  <c r="C155" i="2"/>
  <c r="D155" i="2"/>
  <c r="E155" i="2"/>
  <c r="F155" i="2"/>
  <c r="G493" i="1"/>
  <c r="C156" i="2"/>
  <c r="H493" i="1"/>
  <c r="D156" i="2"/>
  <c r="I493" i="1"/>
  <c r="E156" i="2"/>
  <c r="J493" i="1"/>
  <c r="F156" i="2"/>
  <c r="F19" i="1"/>
  <c r="G607" i="1"/>
  <c r="G19" i="1"/>
  <c r="G608" i="1"/>
  <c r="H19" i="1"/>
  <c r="G609" i="1"/>
  <c r="I19" i="1"/>
  <c r="G610" i="1"/>
  <c r="F33" i="1"/>
  <c r="G33" i="1"/>
  <c r="H33" i="1"/>
  <c r="H43" i="1"/>
  <c r="H44" i="1"/>
  <c r="H609" i="1"/>
  <c r="I33" i="1"/>
  <c r="F43" i="1"/>
  <c r="G43" i="1"/>
  <c r="G613" i="1"/>
  <c r="I43" i="1"/>
  <c r="I44" i="1"/>
  <c r="H610" i="1"/>
  <c r="F169" i="1"/>
  <c r="I169" i="1"/>
  <c r="F175" i="1"/>
  <c r="G175" i="1"/>
  <c r="G180" i="1"/>
  <c r="G184" i="1"/>
  <c r="H175" i="1"/>
  <c r="I175" i="1"/>
  <c r="J175" i="1"/>
  <c r="J184" i="1"/>
  <c r="F180" i="1"/>
  <c r="H180" i="1"/>
  <c r="H184" i="1"/>
  <c r="I180" i="1"/>
  <c r="F203" i="1"/>
  <c r="F221" i="1"/>
  <c r="F239" i="1"/>
  <c r="F248" i="1"/>
  <c r="F249" i="1"/>
  <c r="F263" i="1"/>
  <c r="G203" i="1"/>
  <c r="G221" i="1"/>
  <c r="G239" i="1"/>
  <c r="G248" i="1"/>
  <c r="G249" i="1"/>
  <c r="G263" i="1"/>
  <c r="H203" i="1"/>
  <c r="I203" i="1"/>
  <c r="I221" i="1"/>
  <c r="I239" i="1"/>
  <c r="I248" i="1"/>
  <c r="I249" i="1"/>
  <c r="I263" i="1"/>
  <c r="J203" i="1"/>
  <c r="J221" i="1"/>
  <c r="J239" i="1"/>
  <c r="J248" i="1"/>
  <c r="J249" i="1"/>
  <c r="J263" i="1"/>
  <c r="K203" i="1"/>
  <c r="K221" i="1"/>
  <c r="K239" i="1"/>
  <c r="K248" i="1"/>
  <c r="K249" i="1"/>
  <c r="H221" i="1"/>
  <c r="H239" i="1"/>
  <c r="H248" i="1"/>
  <c r="F282" i="1"/>
  <c r="H282" i="1"/>
  <c r="H301" i="1"/>
  <c r="H320" i="1"/>
  <c r="H329" i="1"/>
  <c r="H330" i="1"/>
  <c r="H344" i="1"/>
  <c r="I282" i="1"/>
  <c r="I301" i="1"/>
  <c r="I320" i="1"/>
  <c r="I329" i="1"/>
  <c r="I330" i="1"/>
  <c r="I344" i="1"/>
  <c r="F301" i="1"/>
  <c r="G301" i="1"/>
  <c r="F320" i="1"/>
  <c r="G320" i="1"/>
  <c r="F329" i="1"/>
  <c r="G329" i="1"/>
  <c r="J329" i="1"/>
  <c r="K329" i="1"/>
  <c r="F354" i="1"/>
  <c r="G354" i="1"/>
  <c r="H354" i="1"/>
  <c r="I354" i="1"/>
  <c r="G624" i="1"/>
  <c r="J354" i="1"/>
  <c r="K354" i="1"/>
  <c r="I360" i="1"/>
  <c r="F361" i="1"/>
  <c r="G361" i="1"/>
  <c r="H361" i="1"/>
  <c r="I361" i="1"/>
  <c r="H624" i="1"/>
  <c r="L373" i="1"/>
  <c r="F374" i="1"/>
  <c r="G374" i="1"/>
  <c r="H374" i="1"/>
  <c r="I374" i="1"/>
  <c r="J374" i="1"/>
  <c r="K374" i="1"/>
  <c r="F385" i="1"/>
  <c r="G385" i="1"/>
  <c r="G393" i="1"/>
  <c r="G399" i="1"/>
  <c r="G400" i="1"/>
  <c r="H635" i="1"/>
  <c r="H385" i="1"/>
  <c r="I385" i="1"/>
  <c r="F393" i="1"/>
  <c r="H393" i="1"/>
  <c r="I393" i="1"/>
  <c r="F399" i="1"/>
  <c r="H399" i="1"/>
  <c r="I399" i="1"/>
  <c r="F400" i="1"/>
  <c r="H633" i="1"/>
  <c r="I400" i="1"/>
  <c r="L405" i="1"/>
  <c r="L406" i="1"/>
  <c r="L407" i="1"/>
  <c r="L408" i="1"/>
  <c r="L409" i="1"/>
  <c r="L410" i="1"/>
  <c r="F411" i="1"/>
  <c r="G411" i="1"/>
  <c r="H411" i="1"/>
  <c r="H419" i="1"/>
  <c r="H425" i="1"/>
  <c r="H426" i="1"/>
  <c r="I411" i="1"/>
  <c r="J411" i="1"/>
  <c r="L413" i="1"/>
  <c r="L414" i="1"/>
  <c r="L415" i="1"/>
  <c r="L416" i="1"/>
  <c r="L417" i="1"/>
  <c r="L418" i="1"/>
  <c r="F419" i="1"/>
  <c r="G419" i="1"/>
  <c r="I419" i="1"/>
  <c r="J419" i="1"/>
  <c r="L421" i="1"/>
  <c r="L422" i="1"/>
  <c r="L423" i="1"/>
  <c r="L424" i="1"/>
  <c r="L425" i="1"/>
  <c r="F425" i="1"/>
  <c r="F426" i="1"/>
  <c r="G425" i="1"/>
  <c r="G426" i="1"/>
  <c r="I425" i="1"/>
  <c r="J425" i="1"/>
  <c r="I426" i="1"/>
  <c r="J426" i="1"/>
  <c r="F438" i="1"/>
  <c r="G438" i="1"/>
  <c r="G630" i="1"/>
  <c r="H438" i="1"/>
  <c r="G631" i="1"/>
  <c r="H444" i="1"/>
  <c r="H450" i="1"/>
  <c r="H451" i="1"/>
  <c r="H631" i="1"/>
  <c r="J631" i="1"/>
  <c r="F444" i="1"/>
  <c r="G444" i="1"/>
  <c r="F450" i="1"/>
  <c r="G450" i="1"/>
  <c r="G451" i="1"/>
  <c r="H630" i="1"/>
  <c r="F451" i="1"/>
  <c r="H629" i="1"/>
  <c r="F460" i="1"/>
  <c r="G460" i="1"/>
  <c r="G464" i="1"/>
  <c r="G466" i="1"/>
  <c r="H613" i="1"/>
  <c r="J613" i="1"/>
  <c r="H460" i="1"/>
  <c r="I460" i="1"/>
  <c r="F464" i="1"/>
  <c r="H464" i="1"/>
  <c r="H466" i="1"/>
  <c r="H614" i="1"/>
  <c r="G614" i="1"/>
  <c r="J614" i="1"/>
  <c r="I464" i="1"/>
  <c r="I466" i="1"/>
  <c r="H615" i="1"/>
  <c r="J464" i="1"/>
  <c r="K485" i="1"/>
  <c r="K486" i="1"/>
  <c r="K487" i="1"/>
  <c r="K488" i="1"/>
  <c r="K489" i="1"/>
  <c r="K491" i="1"/>
  <c r="F507" i="1"/>
  <c r="G507" i="1"/>
  <c r="H507" i="1"/>
  <c r="I507" i="1"/>
  <c r="H514" i="1"/>
  <c r="I514" i="1"/>
  <c r="J514" i="1"/>
  <c r="K514" i="1"/>
  <c r="F519" i="1"/>
  <c r="H519" i="1"/>
  <c r="I519" i="1"/>
  <c r="J519" i="1"/>
  <c r="K519" i="1"/>
  <c r="F524" i="1"/>
  <c r="H524" i="1"/>
  <c r="I524" i="1"/>
  <c r="J524" i="1"/>
  <c r="K524" i="1"/>
  <c r="F529" i="1"/>
  <c r="H529" i="1"/>
  <c r="I529" i="1"/>
  <c r="J529" i="1"/>
  <c r="K529" i="1"/>
  <c r="F534" i="1"/>
  <c r="H534" i="1"/>
  <c r="I534" i="1"/>
  <c r="J534" i="1"/>
  <c r="K534" i="1"/>
  <c r="L547" i="1"/>
  <c r="L548" i="1"/>
  <c r="L549" i="1"/>
  <c r="F550" i="1"/>
  <c r="G550" i="1"/>
  <c r="H550" i="1"/>
  <c r="I550" i="1"/>
  <c r="J550" i="1"/>
  <c r="K550" i="1"/>
  <c r="L550" i="1"/>
  <c r="L552" i="1"/>
  <c r="L553" i="1"/>
  <c r="L554" i="1"/>
  <c r="L555" i="1"/>
  <c r="F555" i="1"/>
  <c r="G555" i="1"/>
  <c r="H555" i="1"/>
  <c r="I555" i="1"/>
  <c r="J555" i="1"/>
  <c r="K555" i="1"/>
  <c r="L557" i="1"/>
  <c r="L558" i="1"/>
  <c r="L559" i="1"/>
  <c r="F560" i="1"/>
  <c r="G560" i="1"/>
  <c r="H560" i="1"/>
  <c r="I560" i="1"/>
  <c r="J560" i="1"/>
  <c r="K560" i="1"/>
  <c r="K561" i="1"/>
  <c r="L560" i="1"/>
  <c r="L561" i="1"/>
  <c r="G561" i="1"/>
  <c r="I565" i="1"/>
  <c r="I566" i="1"/>
  <c r="I567" i="1"/>
  <c r="I568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/>
  <c r="G639" i="1"/>
  <c r="J639" i="1"/>
  <c r="I588" i="1"/>
  <c r="J588" i="1"/>
  <c r="H641" i="1"/>
  <c r="G641" i="1"/>
  <c r="J641" i="1"/>
  <c r="K592" i="1"/>
  <c r="K593" i="1"/>
  <c r="K594" i="1"/>
  <c r="K595" i="1"/>
  <c r="G638" i="1"/>
  <c r="J330" i="1"/>
  <c r="H638" i="1"/>
  <c r="J638" i="1"/>
  <c r="H595" i="1"/>
  <c r="I595" i="1"/>
  <c r="J595" i="1"/>
  <c r="F604" i="1"/>
  <c r="G604" i="1"/>
  <c r="H604" i="1"/>
  <c r="I604" i="1"/>
  <c r="J604" i="1"/>
  <c r="K604" i="1"/>
  <c r="G612" i="1"/>
  <c r="H617" i="1"/>
  <c r="H618" i="1"/>
  <c r="H619" i="1"/>
  <c r="H620" i="1"/>
  <c r="H622" i="1"/>
  <c r="H623" i="1"/>
  <c r="H625" i="1"/>
  <c r="H626" i="1"/>
  <c r="H628" i="1"/>
  <c r="G629" i="1"/>
  <c r="G633" i="1"/>
  <c r="J633" i="1"/>
  <c r="G634" i="1"/>
  <c r="G640" i="1"/>
  <c r="H640" i="1"/>
  <c r="J640" i="1"/>
  <c r="G642" i="1"/>
  <c r="H642" i="1"/>
  <c r="G643" i="1"/>
  <c r="H643" i="1"/>
  <c r="J643" i="1"/>
  <c r="G644" i="1"/>
  <c r="H644" i="1"/>
  <c r="J644" i="1"/>
  <c r="G645" i="1"/>
  <c r="H645" i="1"/>
  <c r="J645" i="1"/>
  <c r="F161" i="1"/>
  <c r="C42" i="2"/>
  <c r="J561" i="1"/>
  <c r="F561" i="1"/>
  <c r="G9" i="2"/>
  <c r="G615" i="1"/>
  <c r="L529" i="1"/>
  <c r="C83" i="2"/>
  <c r="D55" i="2"/>
  <c r="E104" i="2"/>
  <c r="D15" i="13"/>
  <c r="C15" i="13"/>
  <c r="G137" i="2"/>
  <c r="F55" i="2"/>
  <c r="L301" i="1"/>
  <c r="D17" i="13"/>
  <c r="C17" i="13"/>
  <c r="H104" i="1"/>
  <c r="C25" i="10"/>
  <c r="H637" i="1"/>
  <c r="C116" i="2"/>
  <c r="F95" i="2"/>
  <c r="E73" i="2"/>
  <c r="G36" i="2"/>
  <c r="D77" i="2"/>
  <c r="D83" i="2"/>
  <c r="D14" i="13"/>
  <c r="C14" i="13"/>
  <c r="C35" i="10"/>
  <c r="F43" i="2"/>
  <c r="J610" i="1"/>
  <c r="K535" i="1"/>
  <c r="I535" i="1"/>
  <c r="L519" i="1"/>
  <c r="H535" i="1"/>
  <c r="L511" i="1"/>
  <c r="F539" i="1"/>
  <c r="F542" i="1"/>
  <c r="F535" i="1"/>
  <c r="K490" i="1"/>
  <c r="K492" i="1"/>
  <c r="F493" i="1"/>
  <c r="B153" i="2"/>
  <c r="G153" i="2"/>
  <c r="G150" i="2"/>
  <c r="G635" i="1"/>
  <c r="J635" i="1"/>
  <c r="H627" i="1"/>
  <c r="J460" i="1"/>
  <c r="J466" i="1"/>
  <c r="H616" i="1"/>
  <c r="J630" i="1"/>
  <c r="C133" i="2"/>
  <c r="L400" i="1"/>
  <c r="G627" i="1"/>
  <c r="J624" i="1"/>
  <c r="L350" i="1"/>
  <c r="L354" i="1"/>
  <c r="C27" i="10"/>
  <c r="D29" i="13"/>
  <c r="C29" i="13"/>
  <c r="F651" i="1"/>
  <c r="G651" i="1"/>
  <c r="G282" i="1"/>
  <c r="G330" i="1"/>
  <c r="G344" i="1"/>
  <c r="K330" i="1"/>
  <c r="K344" i="1"/>
  <c r="J344" i="1"/>
  <c r="L268" i="1"/>
  <c r="E101" i="2"/>
  <c r="B9" i="12"/>
  <c r="A13" i="12"/>
  <c r="C102" i="2"/>
  <c r="L262" i="1"/>
  <c r="K263" i="1"/>
  <c r="H25" i="13"/>
  <c r="G33" i="13"/>
  <c r="C20" i="10"/>
  <c r="L195" i="1"/>
  <c r="C111" i="2"/>
  <c r="C13" i="10"/>
  <c r="C117" i="2"/>
  <c r="C11" i="10"/>
  <c r="C18" i="10"/>
  <c r="D12" i="13"/>
  <c r="C12" i="13"/>
  <c r="C112" i="2"/>
  <c r="D7" i="13"/>
  <c r="C7" i="13"/>
  <c r="C15" i="10"/>
  <c r="C110" i="2"/>
  <c r="D6" i="13"/>
  <c r="C6" i="13"/>
  <c r="D5" i="13"/>
  <c r="C5" i="13"/>
  <c r="I184" i="1"/>
  <c r="I185" i="1"/>
  <c r="G620" i="1"/>
  <c r="J620" i="1"/>
  <c r="E96" i="2"/>
  <c r="H161" i="1"/>
  <c r="C39" i="10"/>
  <c r="J642" i="1"/>
  <c r="D96" i="2"/>
  <c r="C38" i="10"/>
  <c r="G185" i="1"/>
  <c r="G618" i="1"/>
  <c r="J618" i="1"/>
  <c r="F466" i="1"/>
  <c r="H612" i="1"/>
  <c r="J612" i="1"/>
  <c r="C70" i="2"/>
  <c r="C62" i="2"/>
  <c r="C54" i="2"/>
  <c r="C55" i="2"/>
  <c r="F104" i="1"/>
  <c r="C36" i="10"/>
  <c r="E32" i="2"/>
  <c r="J609" i="1"/>
  <c r="G44" i="1"/>
  <c r="H608" i="1"/>
  <c r="J608" i="1"/>
  <c r="D32" i="2"/>
  <c r="D19" i="2"/>
  <c r="F44" i="1"/>
  <c r="H607" i="1"/>
  <c r="J607" i="1"/>
  <c r="C19" i="2"/>
  <c r="H636" i="1"/>
  <c r="F96" i="2"/>
  <c r="F184" i="1"/>
  <c r="G155" i="2"/>
  <c r="E105" i="2"/>
  <c r="C23" i="10"/>
  <c r="C24" i="10"/>
  <c r="J615" i="1"/>
  <c r="J535" i="1"/>
  <c r="L411" i="1"/>
  <c r="L329" i="1"/>
  <c r="F330" i="1"/>
  <c r="F344" i="1"/>
  <c r="L248" i="1"/>
  <c r="H249" i="1"/>
  <c r="H263" i="1"/>
  <c r="G149" i="2"/>
  <c r="D42" i="2"/>
  <c r="J541" i="1"/>
  <c r="K541" i="1"/>
  <c r="L534" i="1"/>
  <c r="J185" i="1"/>
  <c r="F22" i="13"/>
  <c r="C122" i="2"/>
  <c r="C29" i="10"/>
  <c r="C21" i="10"/>
  <c r="H652" i="1"/>
  <c r="I652" i="1"/>
  <c r="L239" i="1"/>
  <c r="H650" i="1"/>
  <c r="C101" i="2"/>
  <c r="C107" i="2"/>
  <c r="J14" i="1"/>
  <c r="I438" i="1"/>
  <c r="G632" i="1"/>
  <c r="J542" i="1"/>
  <c r="E114" i="2"/>
  <c r="E110" i="2"/>
  <c r="E8" i="13"/>
  <c r="C17" i="10"/>
  <c r="I561" i="1"/>
  <c r="L419" i="1"/>
  <c r="J38" i="1"/>
  <c r="I450" i="1"/>
  <c r="J24" i="1"/>
  <c r="I444" i="1"/>
  <c r="C32" i="2"/>
  <c r="C43" i="2"/>
  <c r="H540" i="1"/>
  <c r="L524" i="1"/>
  <c r="C19" i="10"/>
  <c r="L343" i="1"/>
  <c r="C12" i="10"/>
  <c r="E103" i="2"/>
  <c r="F31" i="13"/>
  <c r="J629" i="1"/>
  <c r="L221" i="1"/>
  <c r="G650" i="1"/>
  <c r="H561" i="1"/>
  <c r="H400" i="1"/>
  <c r="H634" i="1"/>
  <c r="J634" i="1"/>
  <c r="G152" i="2"/>
  <c r="G148" i="2"/>
  <c r="G95" i="2"/>
  <c r="G96" i="2"/>
  <c r="E42" i="2"/>
  <c r="F19" i="2"/>
  <c r="L374" i="1"/>
  <c r="G626" i="1"/>
  <c r="J626" i="1"/>
  <c r="D119" i="2"/>
  <c r="D120" i="2"/>
  <c r="D137" i="2"/>
  <c r="H651" i="1"/>
  <c r="E13" i="13"/>
  <c r="C13" i="13"/>
  <c r="K539" i="1"/>
  <c r="L514" i="1"/>
  <c r="L535" i="1"/>
  <c r="B156" i="2"/>
  <c r="G156" i="2"/>
  <c r="K493" i="1"/>
  <c r="J627" i="1"/>
  <c r="C136" i="2"/>
  <c r="G625" i="1"/>
  <c r="J625" i="1"/>
  <c r="G654" i="1"/>
  <c r="G662" i="1"/>
  <c r="I651" i="1"/>
  <c r="L282" i="1"/>
  <c r="L330" i="1"/>
  <c r="L344" i="1"/>
  <c r="G623" i="1"/>
  <c r="J623" i="1"/>
  <c r="C10" i="10"/>
  <c r="E107" i="2"/>
  <c r="C25" i="13"/>
  <c r="H33" i="13"/>
  <c r="L203" i="1"/>
  <c r="C16" i="10"/>
  <c r="C120" i="2"/>
  <c r="C137" i="2"/>
  <c r="H185" i="1"/>
  <c r="G619" i="1"/>
  <c r="J619" i="1"/>
  <c r="C41" i="10"/>
  <c r="D39" i="10"/>
  <c r="C73" i="2"/>
  <c r="C96" i="2"/>
  <c r="F185" i="1"/>
  <c r="G617" i="1"/>
  <c r="J617" i="1"/>
  <c r="E43" i="2"/>
  <c r="D43" i="2"/>
  <c r="D31" i="13"/>
  <c r="G23" i="2"/>
  <c r="G32" i="2"/>
  <c r="J33" i="1"/>
  <c r="C22" i="13"/>
  <c r="F33" i="13"/>
  <c r="H542" i="1"/>
  <c r="K540" i="1"/>
  <c r="G621" i="1"/>
  <c r="J621" i="1"/>
  <c r="G636" i="1"/>
  <c r="J636" i="1"/>
  <c r="G37" i="2"/>
  <c r="G42" i="2"/>
  <c r="J43" i="1"/>
  <c r="E33" i="13"/>
  <c r="D35" i="13"/>
  <c r="C8" i="13"/>
  <c r="L426" i="1"/>
  <c r="G628" i="1"/>
  <c r="J628" i="1"/>
  <c r="I451" i="1"/>
  <c r="H632" i="1"/>
  <c r="J632" i="1"/>
  <c r="E120" i="2"/>
  <c r="G14" i="2"/>
  <c r="G19" i="2"/>
  <c r="J19" i="1"/>
  <c r="G611" i="1"/>
  <c r="H654" i="1"/>
  <c r="H662" i="1"/>
  <c r="K542" i="1"/>
  <c r="G657" i="1"/>
  <c r="C28" i="10"/>
  <c r="D12" i="10"/>
  <c r="F650" i="1"/>
  <c r="I650" i="1"/>
  <c r="E137" i="2"/>
  <c r="L249" i="1"/>
  <c r="L263" i="1"/>
  <c r="G622" i="1"/>
  <c r="J622" i="1"/>
  <c r="D35" i="10"/>
  <c r="D37" i="10"/>
  <c r="D40" i="10"/>
  <c r="D38" i="10"/>
  <c r="D36" i="10"/>
  <c r="J44" i="1"/>
  <c r="H611" i="1"/>
  <c r="G616" i="1"/>
  <c r="J616" i="1"/>
  <c r="C31" i="13"/>
  <c r="D33" i="13"/>
  <c r="D36" i="13"/>
  <c r="J611" i="1"/>
  <c r="G43" i="2"/>
  <c r="D24" i="10"/>
  <c r="D11" i="10"/>
  <c r="D13" i="10"/>
  <c r="D20" i="10"/>
  <c r="D23" i="10"/>
  <c r="D26" i="10"/>
  <c r="D19" i="10"/>
  <c r="C30" i="10"/>
  <c r="D21" i="10"/>
  <c r="D18" i="10"/>
  <c r="D25" i="10"/>
  <c r="D16" i="10"/>
  <c r="D10" i="10"/>
  <c r="D17" i="10"/>
  <c r="D15" i="10"/>
  <c r="D22" i="10"/>
  <c r="D27" i="10"/>
  <c r="D41" i="10"/>
  <c r="D28" i="10"/>
  <c r="A22" i="12"/>
  <c r="F654" i="1"/>
  <c r="F657" i="1"/>
  <c r="I653" i="1"/>
  <c r="I654" i="1"/>
  <c r="I662" i="1"/>
  <c r="C7" i="10"/>
  <c r="L604" i="1"/>
  <c r="K588" i="1"/>
  <c r="G637" i="1"/>
  <c r="J637" i="1"/>
  <c r="H646" i="1"/>
  <c r="H657" i="1"/>
  <c r="F662" i="1"/>
  <c r="C4" i="10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299023FF-5B89-4DC3-AF23-86F2D5DF7B3F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2A9C0B74-BA7D-4D9C-BCA6-1073CB701986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8D853761-A42F-43D3-8FE8-50234199CA38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BD133F3D-8FC3-4CA3-955C-2B15EB8C2800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C8A189DB-2D38-4BCA-8443-583BB4E06294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89CB78C1-1902-42D9-A441-241975559BD7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766545F8-8C49-4DD7-A64F-6AB7C51C2D65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0966BE2C-6A9B-4B69-9201-23D8954565ED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A82EE8DC-AFB0-4FB7-BC61-E53873FA6AF0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D85C4D28-2B67-4BD5-AF4E-B34111402310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16A0438B-CA93-499D-A47D-A66696C7DCE9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A8E1969-3026-4EF7-ACBF-D58D9ED13962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<sst xmlns="http://schemas.openxmlformats.org/spreadsheetml/2006/main" count="3862" uniqueCount="899">
  <si>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</si>
  <si>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</si>
  <si>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</si>
  <si>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</si>
  <si>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</si>
  <si>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</si>
  <si>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</si>
  <si>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</si>
  <si>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</si>
  <si>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</si>
  <si>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</si>
  <si>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</si>
  <si>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</si>
  <si>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</si>
  <si>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</si>
  <si>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</si>
  <si>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</si>
  <si>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</si>
  <si>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</si>
  <si>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</si>
  <si>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</si>
  <si>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</si>
  <si>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</si>
  <si>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</si>
  <si>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</si>
  <si>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</si>
  <si>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</si>
  <si>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</si>
  <si>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</si>
  <si>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</si>
  <si>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</si>
  <si>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</si>
  <si>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</si>
  <si>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</si>
  <si>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</si>
  <si>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</si>
  <si>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</si>
  <si>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</si>
  <si>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</si>
  <si>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</si>
  <si>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</si>
  <si>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</si>
  <si>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</si>
  <si>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</si>
  <si>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</si>
  <si>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</si>
  <si>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</si>
  <si>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</si>
  <si>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</si>
  <si>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</si>
  <si>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</si>
  <si>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</si>
  <si>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</si>
  <si>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</si>
  <si>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</si>
  <si>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</si>
  <si>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</si>
  <si>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</si>
  <si>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</si>
  <si>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</si>
  <si>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</si>
  <si>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</si>
  <si>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</si>
  <si>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</si>
  <si>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</si>
  <si>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</si>
  <si>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</si>
  <si>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</si>
  <si>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</si>
  <si>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</si>
  <si>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</si>
  <si>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</si>
  <si>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</si>
  <si>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</si>
  <si>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</si>
  <si>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</si>
  <si>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</si>
  <si>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</si>
  <si>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</si>
  <si>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</si>
  <si>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</si>
  <si>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</si>
  <si>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</si>
  <si>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</si>
  <si>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</si>
  <si>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</si>
  <si>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</si>
  <si>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</si>
  <si>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</si>
  <si>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</si>
  <si>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</si>
  <si>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</si>
  <si>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</si>
  <si>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</si>
  <si>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</si>
  <si>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</si>
  <si>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</si>
  <si>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</si>
  <si>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</si>
  <si>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</si>
  <si>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</si>
  <si>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</si>
  <si>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</si>
  <si>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</si>
  <si>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</si>
  <si>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</si>
  <si>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</si>
  <si>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</si>
  <si>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</si>
  <si>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</si>
  <si>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</si>
  <si>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</si>
  <si>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</si>
  <si>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</si>
  <si>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</si>
  <si>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</si>
  <si>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</si>
  <si>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</si>
  <si>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</si>
  <si>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</si>
  <si>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</si>
  <si>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</si>
  <si>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</si>
  <si>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</si>
  <si>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</si>
  <si>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</si>
  <si>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</si>
  <si>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</si>
  <si>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</si>
  <si>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</si>
  <si>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</si>
  <si>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</si>
  <si>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</si>
  <si>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</si>
  <si>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</si>
  <si>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</si>
  <si>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</si>
  <si>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</si>
  <si>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</si>
  <si>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</si>
  <si>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</si>
  <si>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</si>
  <si>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</si>
  <si>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</si>
  <si>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</si>
  <si>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</si>
  <si>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</si>
  <si>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</si>
  <si>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</si>
  <si>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</si>
  <si>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</si>
  <si>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</si>
  <si>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</si>
  <si>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</si>
  <si>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</si>
  <si>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</si>
  <si>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</si>
  <si>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</si>
  <si>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</si>
  <si>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</si>
  <si>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</si>
  <si>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</si>
  <si>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</si>
  <si>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</si>
  <si>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</si>
  <si>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</si>
  <si>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</si>
  <si>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</si>
  <si>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</si>
  <si>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</si>
  <si>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</si>
  <si>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</si>
  <si>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</si>
  <si>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</si>
  <si>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</si>
  <si>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</si>
  <si>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</si>
  <si>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</si>
  <si>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</si>
  <si>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</si>
  <si>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</si>
  <si>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</si>
  <si>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</si>
  <si>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</si>
  <si>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</si>
  <si>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</si>
  <si>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</si>
  <si>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</si>
  <si>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</si>
  <si>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</si>
  <si>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</si>
  <si>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</si>
  <si>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</si>
  <si>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</si>
  <si>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</si>
  <si>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</si>
  <si>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</si>
  <si>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</si>
  <si>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</si>
  <si>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</si>
  <si>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</si>
  <si>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</si>
  <si>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</si>
  <si>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</si>
  <si>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</si>
  <si>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</si>
  <si>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</si>
  <si>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</si>
  <si>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</si>
  <si>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</si>
  <si>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</si>
  <si>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</si>
  <si>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</si>
  <si>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</si>
  <si>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</si>
  <si>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</si>
  <si>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</si>
  <si>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</si>
  <si>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</si>
  <si>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</si>
  <si>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</si>
  <si>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</si>
  <si>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</si>
  <si>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</si>
  <si>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</si>
  <si>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</si>
  <si>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</si>
  <si>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</si>
  <si>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</si>
  <si>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</si>
  <si>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</si>
  <si>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</si>
  <si>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</si>
  <si>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</si>
  <si>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</si>
  <si>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</si>
  <si>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</si>
  <si>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</si>
  <si>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</si>
  <si>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</si>
  <si>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</si>
  <si>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</si>
  <si>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</si>
  <si>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</si>
  <si>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</si>
  <si>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</si>
  <si>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</si>
  <si>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</si>
  <si>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</si>
  <si>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</si>
  <si>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</si>
  <si>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</si>
  <si>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</si>
  <si>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</si>
  <si>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</si>
  <si>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</si>
  <si>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</si>
  <si>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</si>
  <si>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</si>
  <si>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</si>
  <si>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</si>
  <si>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</si>
  <si>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</si>
  <si>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</si>
  <si>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</si>
  <si>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</si>
  <si>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</si>
  <si>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</si>
  <si>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</si>
  <si>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</si>
  <si>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</si>
  <si>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</si>
  <si>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</si>
  <si>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</si>
  <si>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</si>
  <si>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</si>
  <si>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</si>
  <si>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</si>
  <si>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</si>
  <si>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</si>
  <si>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</si>
  <si>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</si>
  <si>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</si>
  <si>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</si>
  <si>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</si>
  <si>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</si>
  <si>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</si>
  <si>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</si>
  <si>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</si>
  <si>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</si>
  <si>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</si>
  <si>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</si>
  <si>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</si>
  <si>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</si>
  <si>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</si>
  <si>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</si>
  <si>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</si>
  <si>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</si>
  <si>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</si>
  <si>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</si>
  <si>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</si>
  <si>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</si>
  <si>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</si>
  <si>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</si>
  <si>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</si>
  <si>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</si>
  <si>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</si>
  <si>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</si>
  <si>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</si>
  <si>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</si>
  <si>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</si>
  <si>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</si>
  <si>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</si>
  <si>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</si>
  <si>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</si>
  <si>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</si>
  <si>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</si>
  <si>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</si>
  <si>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</si>
  <si>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</si>
  <si>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</si>
  <si>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</si>
  <si>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</si>
  <si>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</si>
  <si>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</si>
  <si>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</si>
  <si>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</si>
  <si>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</si>
  <si>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</si>
  <si>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</si>
  <si>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</si>
  <si>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</si>
  <si>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</si>
  <si>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</si>
  <si>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</si>
  <si>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</si>
  <si>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</si>
  <si>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</si>
  <si>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</si>
  <si>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</si>
  <si>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</si>
  <si>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</si>
  <si>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</si>
  <si>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</si>
  <si>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</si>
  <si>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</si>
  <si>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</si>
  <si>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</si>
  <si>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</si>
  <si>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</si>
  <si>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</si>
  <si>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</si>
  <si>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</si>
  <si>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</si>
  <si>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</si>
  <si>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</si>
  <si>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</si>
  <si>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</si>
  <si>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</si>
  <si>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</si>
  <si>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</si>
  <si>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</si>
  <si>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</si>
  <si>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</si>
  <si>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</si>
  <si>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</si>
  <si>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</si>
  <si>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</si>
  <si>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</si>
  <si>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</si>
  <si>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</si>
  <si>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</si>
  <si>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</si>
  <si>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</si>
  <si>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</si>
  <si>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</si>
  <si>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</si>
  <si>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</si>
  <si>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</si>
  <si>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</si>
  <si>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</si>
  <si>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</si>
  <si>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</si>
  <si>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</si>
  <si>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</si>
  <si>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</si>
  <si>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</si>
  <si>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</si>
  <si>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</si>
  <si>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</si>
  <si>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</si>
  <si>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</si>
  <si>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</si>
  <si>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</si>
  <si>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</si>
  <si>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</si>
  <si>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</si>
  <si>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</si>
  <si>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</si>
  <si>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</si>
  <si>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</si>
  <si>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</si>
  <si>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</si>
  <si>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</si>
  <si>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</si>
  <si>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</si>
  <si>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</si>
  <si>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</si>
  <si>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</si>
  <si>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</si>
  <si>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</si>
  <si>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</si>
  <si>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</si>
  <si>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</si>
  <si>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</si>
  <si>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</si>
  <si>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</si>
  <si>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</si>
  <si>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</si>
  <si>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</si>
  <si>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</si>
  <si>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</si>
  <si>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</si>
  <si>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</si>
  <si>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</si>
  <si>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</si>
  <si>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</si>
  <si>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</si>
  <si>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</si>
  <si>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</si>
  <si>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</si>
  <si>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</si>
  <si>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</si>
  <si>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</si>
  <si>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</si>
  <si>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</si>
  <si>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</si>
  <si>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</si>
  <si>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</si>
  <si>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</si>
  <si>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</si>
  <si>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</si>
  <si>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</si>
  <si>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</si>
  <si>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</si>
  <si>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</si>
  <si>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</si>
  <si>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</si>
  <si>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</si>
  <si>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</si>
  <si>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</si>
  <si>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</si>
  <si>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</si>
  <si>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</si>
  <si>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</si>
  <si>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</si>
  <si>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</si>
  <si>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</si>
  <si>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</si>
  <si>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</si>
  <si>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</si>
  <si>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</si>
  <si>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</si>
  <si>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</si>
  <si>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</si>
  <si>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</si>
  <si>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</si>
  <si>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</si>
  <si>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</si>
  <si>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</si>
  <si>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</si>
  <si>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</si>
  <si>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</si>
  <si>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</si>
  <si>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</si>
  <si>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</si>
  <si>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</si>
  <si>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</si>
  <si>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</si>
  <si>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</si>
  <si>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</si>
  <si>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</si>
  <si>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</si>
  <si>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</si>
  <si>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</si>
  <si>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</si>
  <si>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</si>
  <si>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</si>
  <si>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</si>
  <si>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</si>
  <si>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</si>
  <si>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</si>
  <si>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</si>
  <si>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</si>
  <si>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</si>
  <si>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</si>
  <si>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</si>
  <si>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</si>
  <si>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</si>
  <si>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</si>
  <si>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</si>
  <si>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</si>
  <si>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</si>
  <si>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</si>
  <si>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</si>
  <si>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</si>
  <si>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</si>
  <si>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</si>
  <si>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</si>
  <si>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</si>
  <si>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</si>
  <si>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</si>
  <si>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</si>
  <si>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</si>
  <si>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</si>
  <si>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</si>
  <si>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</si>
  <si>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</si>
  <si>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</si>
  <si>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</si>
  <si>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</si>
  <si>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</si>
  <si>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</si>
  <si>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</si>
  <si>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</si>
  <si>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</si>
  <si>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</si>
  <si>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</si>
  <si>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</si>
  <si>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</si>
  <si>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</si>
  <si>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</si>
  <si>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</si>
  <si>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</si>
  <si>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</si>
  <si>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</si>
  <si>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</si>
  <si>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</si>
  <si>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</si>
  <si>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</si>
  <si>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</si>
  <si>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</si>
  <si>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</si>
  <si>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</si>
  <si>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</si>
  <si>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</si>
  <si>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</si>
  <si>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</si>
  <si>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</si>
  <si>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</si>
  <si>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</si>
  <si>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</si>
  <si>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</si>
  <si>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</si>
  <si>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</si>
  <si>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</si>
  <si>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</si>
  <si>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</si>
  <si>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</si>
  <si>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</si>
  <si>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</si>
  <si>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</si>
  <si>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</si>
  <si>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</si>
  <si>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</si>
  <si>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</si>
  <si>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</si>
  <si>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</si>
  <si>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</si>
  <si>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</si>
  <si>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</si>
  <si>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</si>
  <si>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</si>
  <si>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</si>
  <si>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</si>
  <si>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</si>
  <si>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</si>
  <si>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</si>
  <si>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</si>
  <si>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</si>
  <si>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</si>
  <si>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</si>
  <si>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</si>
  <si>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</si>
  <si>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</si>
  <si>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</si>
  <si>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</si>
  <si>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</si>
  <si>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</si>
  <si>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</si>
  <si>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</si>
  <si>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</si>
  <si>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</si>
  <si>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</si>
  <si>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</si>
  <si>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</si>
  <si>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</si>
  <si>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</si>
  <si>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</si>
  <si>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</si>
  <si>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</si>
  <si>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</si>
  <si>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</si>
  <si>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</si>
  <si>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</si>
  <si>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</si>
  <si>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</si>
  <si>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</si>
  <si>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</si>
  <si>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</si>
  <si>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</si>
  <si>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</si>
  <si>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</si>
  <si>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</si>
  <si>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</si>
  <si>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</si>
  <si>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</si>
  <si>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</si>
  <si>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</si>
  <si>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</si>
  <si>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</si>
  <si>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</si>
  <si>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</si>
  <si>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</si>
  <si>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</si>
  <si>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</si>
  <si>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</si>
  <si>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</si>
  <si>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</si>
  <si>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</si>
  <si>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</si>
  <si>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</si>
  <si>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</si>
  <si>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</si>
  <si>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</si>
  <si>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</si>
  <si>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</si>
  <si>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</si>
  <si>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</si>
  <si>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</si>
  <si>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</si>
  <si>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</si>
  <si>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</si>
  <si>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</si>
  <si>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</si>
  <si>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</si>
  <si>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</si>
  <si>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</si>
  <si>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</si>
  <si>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</si>
  <si>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</si>
  <si>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</si>
  <si>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</si>
  <si>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</si>
  <si>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</si>
  <si>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</si>
  <si>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</si>
  <si>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</si>
  <si>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</si>
  <si>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</si>
  <si>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</si>
  <si>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</si>
  <si>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</si>
  <si>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</si>
  <si>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</si>
  <si>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</si>
  <si>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</si>
  <si>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</si>
  <si>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</si>
  <si>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</si>
  <si>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</si>
  <si>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</si>
  <si>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</si>
  <si>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</si>
  <si>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</si>
  <si>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</si>
  <si>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</si>
  <si>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</si>
  <si>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</si>
  <si>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</si>
  <si>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</si>
  <si>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</si>
  <si>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</si>
  <si>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</si>
  <si>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</si>
  <si>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</si>
  <si>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</si>
  <si>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</si>
  <si>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</si>
  <si>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</si>
  <si>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</si>
  <si>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</si>
  <si>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</si>
  <si>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</si>
  <si>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</si>
  <si>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</si>
  <si>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</si>
  <si>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</si>
  <si>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</si>
  <si>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</si>
  <si>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</si>
  <si>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</si>
  <si>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</si>
  <si>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</si>
  <si>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</si>
  <si>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</si>
  <si>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</si>
  <si>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</si>
  <si>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</si>
  <si>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</si>
  <si>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</si>
  <si>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</si>
  <si>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</si>
  <si>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</si>
  <si>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</si>
  <si>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</si>
  <si>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</si>
  <si>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</si>
  <si>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</si>
  <si>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</si>
  <si>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</si>
  <si>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</si>
  <si>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</si>
  <si>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</si>
  <si>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</si>
  <si>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</si>
  <si>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</si>
  <si>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</si>
  <si>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</si>
  <si>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</si>
  <si>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</si>
  <si>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</si>
  <si>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</si>
  <si>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</si>
  <si>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</si>
  <si>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</si>
  <si>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</si>
  <si>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</si>
  <si>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</si>
  <si>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</si>
  <si>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</si>
  <si>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</si>
  <si>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</si>
  <si>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</si>
  <si>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</si>
  <si>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</si>
  <si>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</si>
  <si>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</si>
  <si>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</si>
  <si>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</si>
  <si>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</si>
  <si>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</si>
  <si>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</si>
  <si>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</si>
  <si>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</si>
  <si>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</si>
  <si>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</si>
  <si>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</si>
  <si>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</si>
  <si>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</si>
  <si>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</si>
  <si>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</si>
  <si>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</si>
  <si>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</si>
  <si>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</si>
  <si>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</si>
  <si>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</si>
  <si>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</si>
  <si>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</si>
  <si>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</si>
  <si>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</si>
  <si>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</si>
  <si>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</si>
  <si>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</si>
  <si>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</si>
  <si>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</si>
  <si>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</si>
  <si>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</si>
  <si>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</si>
  <si>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</si>
  <si>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</si>
  <si>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</si>
  <si>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</si>
  <si>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</si>
  <si>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</si>
  <si>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</si>
  <si>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</si>
  <si>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</si>
  <si>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</si>
  <si>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</si>
  <si>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</si>
  <si>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</si>
  <si>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</si>
  <si>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</si>
  <si>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</si>
  <si>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</si>
  <si>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</si>
  <si>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</si>
  <si>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</si>
  <si>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</si>
  <si>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</si>
  <si>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</si>
  <si>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</si>
  <si>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</si>
  <si>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</si>
  <si>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</si>
  <si>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</si>
  <si>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</si>
  <si>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</si>
  <si>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</si>
  <si>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</si>
  <si>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</si>
  <si>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</si>
  <si>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</si>
  <si>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</si>
  <si>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</si>
  <si>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</si>
  <si>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</si>
  <si>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</si>
  <si>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</si>
  <si>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</si>
  <si>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</si>
  <si>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</si>
  <si>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</si>
  <si>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</si>
  <si>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</si>
  <si>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</si>
  <si>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</si>
  <si>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</si>
  <si>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</si>
  <si>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</si>
  <si>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</si>
  <si>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</si>
  <si>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</si>
  <si>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</si>
  <si>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</si>
  <si>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</si>
  <si>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</si>
  <si>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</si>
  <si>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</si>
  <si>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</si>
  <si>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</si>
  <si>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</si>
  <si>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</si>
  <si>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</si>
  <si>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</si>
  <si>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</si>
  <si>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</si>
  <si>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</si>
  <si>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</si>
  <si>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</si>
  <si>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</si>
  <si>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</si>
  <si>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</si>
  <si>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</si>
  <si>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</si>
  <si>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</si>
  <si>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</si>
  <si>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</si>
  <si>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</si>
  <si>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</si>
  <si>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</si>
  <si>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</si>
  <si>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</si>
  <si>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</si>
  <si>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</si>
  <si>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</si>
  <si>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</si>
  <si>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</si>
  <si>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</si>
  <si>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</si>
  <si>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</si>
  <si>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</si>
  <si>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</si>
  <si>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</si>
  <si>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</si>
  <si>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</si>
  <si>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</si>
  <si>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</si>
  <si>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</si>
  <si>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</si>
  <si>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</si>
  <si>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</si>
  <si>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</si>
  <si>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</si>
  <si>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</si>
  <si>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</si>
  <si>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</si>
  <si>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</si>
  <si>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</si>
  <si>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</si>
  <si>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</si>
  <si>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</si>
  <si>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</si>
  <si>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08/07</t>
  </si>
  <si>
    <t>08/17</t>
  </si>
  <si>
    <t>8/10</t>
  </si>
  <si>
    <t>8/15</t>
  </si>
  <si>
    <t>Westmoreland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</si>
</sst>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6F56-DFF8-4F09-8A3E-534E600865BB}">
  <sheetPr transitionEvaluation="1" transitionEntry="1" codeName="Sheet1">
    <tabColor indexed="56"/>
  </sheetPr>
  <dimension ref="A1:AQ666"/>
  <sheetViews>
    <sheetView tabSelected="1" topLeftCell="A633" zoomScale="75" zoomScaleNormal="110" workbookViewId="0">
      <selection activeCell="I655" sqref="I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563</v>
      </c>
      <c r="C2" s="21">
        <v>563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8178.18-19565.2</f>
        <v>-11387.02</v>
      </c>
      <c r="G9" s="18">
        <v>1021.7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3312.76</v>
      </c>
      <c r="G10" s="18"/>
      <c r="H10" s="18"/>
      <c r="I10" s="18"/>
      <c r="J10" s="67">
        <f>SUM(I432)</f>
        <v>142684.16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66974.7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6871.44</v>
      </c>
      <c r="G13" s="18"/>
      <c r="H13" s="18">
        <v>75269.2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626.76</v>
      </c>
      <c r="G14" s="18">
        <v>416.6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615.71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67014.349999999991</v>
      </c>
      <c r="G19" s="41">
        <f>SUM(G9:G18)</f>
        <v>1438.3000000000002</v>
      </c>
      <c r="H19" s="41">
        <f>SUM(H9:H18)</f>
        <v>75269.2</v>
      </c>
      <c r="I19" s="41">
        <f>SUM(I9:I18)</f>
        <v>0</v>
      </c>
      <c r="J19" s="41">
        <f>SUM(J9:J18)</f>
        <v>142684.16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66974.7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1209.22</v>
      </c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28683.02</v>
      </c>
      <c r="G25" s="18"/>
      <c r="H25" s="18">
        <v>8125.4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5387.89</v>
      </c>
      <c r="G29" s="18">
        <v>696.44</v>
      </c>
      <c r="H29" s="18">
        <v>169.1</v>
      </c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741.86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35280.130000000005</v>
      </c>
      <c r="G33" s="41">
        <f>SUM(G23:G32)</f>
        <v>1438.3000000000002</v>
      </c>
      <c r="H33" s="41">
        <f>SUM(H23:H32)</f>
        <v>75269.2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5981.1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25753.119999999999</v>
      </c>
      <c r="G41" s="18"/>
      <c r="H41" s="18"/>
      <c r="I41" s="18"/>
      <c r="J41" s="13">
        <f>SUM(I449)</f>
        <v>142684.16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/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31734.22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142684.16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67014.350000000006</v>
      </c>
      <c r="G44" s="41">
        <f>G43+G33</f>
        <v>1438.3000000000002</v>
      </c>
      <c r="H44" s="41">
        <f>H43+H33</f>
        <v>75269.2</v>
      </c>
      <c r="I44" s="41">
        <f>I43+I33</f>
        <v>0</v>
      </c>
      <c r="J44" s="41">
        <f>J43+J33</f>
        <v>142684.16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1796198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1796198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1399.99</v>
      </c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1399.99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1067.43</v>
      </c>
      <c r="G88" s="18"/>
      <c r="H88" s="18"/>
      <c r="I88" s="18"/>
      <c r="J88" s="18">
        <f>186.67+52.07</f>
        <v>238.73999999999998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42384.88+1579.85+113+225</f>
        <v>44302.729999999996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18926.94+4628.03</f>
        <v>23554.969999999998</v>
      </c>
      <c r="G102" s="18">
        <v>24</v>
      </c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24622.399999999998</v>
      </c>
      <c r="G103" s="41">
        <f>SUM(G88:G102)</f>
        <v>44326.729999999996</v>
      </c>
      <c r="H103" s="41">
        <f>SUM(H88:H102)</f>
        <v>0</v>
      </c>
      <c r="I103" s="41">
        <f>SUM(I88:I102)</f>
        <v>0</v>
      </c>
      <c r="J103" s="41">
        <f>SUM(J88:J102)</f>
        <v>238.73999999999998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1822220.39</v>
      </c>
      <c r="G104" s="41">
        <f>G52+G103</f>
        <v>44326.729999999996</v>
      </c>
      <c r="H104" s="41">
        <f>H52+H71+H86+H103</f>
        <v>0</v>
      </c>
      <c r="I104" s="41">
        <f>I52+I103</f>
        <v>0</v>
      </c>
      <c r="J104" s="41">
        <f>J52+J103</f>
        <v>238.73999999999998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592895.84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438013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21504.16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1052413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14258.83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28153.26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816.82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42412.09</v>
      </c>
      <c r="G128" s="41">
        <f>SUM(G115:G127)</f>
        <v>816.82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1094825.0900000001</v>
      </c>
      <c r="G132" s="41">
        <f>G113+SUM(G128:G129)</f>
        <v>816.82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f>1837.5+5802.65</f>
        <v>7640.15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8455.39+15669.83+2333.07+2577</f>
        <v>29035.29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3519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21479.360000000001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23082.63+872.86+24686.61+50.37</f>
        <v>48692.470000000008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34097.57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34097.57</v>
      </c>
      <c r="G154" s="41">
        <f>SUM(G142:G153)</f>
        <v>21479.360000000001</v>
      </c>
      <c r="H154" s="41">
        <f>SUM(H142:H153)</f>
        <v>88886.91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34097.57</v>
      </c>
      <c r="G161" s="41">
        <f>G139+G154+SUM(G155:G160)</f>
        <v>21479.360000000001</v>
      </c>
      <c r="H161" s="41">
        <f>H139+H154+SUM(H155:H160)</f>
        <v>88886.91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>
        <v>215000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215000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43404.98</v>
      </c>
      <c r="H171" s="18"/>
      <c r="I171" s="18"/>
      <c r="J171" s="18">
        <v>9183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615.63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615.63</v>
      </c>
      <c r="G175" s="41">
        <f>SUM(G171:G174)</f>
        <v>43404.98</v>
      </c>
      <c r="H175" s="41">
        <f>SUM(H171:H174)</f>
        <v>0</v>
      </c>
      <c r="I175" s="41">
        <f>SUM(I171:I174)</f>
        <v>0</v>
      </c>
      <c r="J175" s="41">
        <f>SUM(J171:J174)</f>
        <v>9183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>
        <v>35000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35000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615.63</v>
      </c>
      <c r="G184" s="41">
        <f>G175+SUM(G180:G183)</f>
        <v>43404.98</v>
      </c>
      <c r="H184" s="41">
        <f>+H175+SUM(H180:H183)</f>
        <v>0</v>
      </c>
      <c r="I184" s="41">
        <f>I169+I175+SUM(I180:I183)</f>
        <v>250000</v>
      </c>
      <c r="J184" s="41">
        <f>J175</f>
        <v>9183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2951758.6799999997</v>
      </c>
      <c r="G185" s="47">
        <f>G104+G132+G161+G184</f>
        <v>110027.89000000001</v>
      </c>
      <c r="H185" s="47">
        <f>H104+H132+H161+H184</f>
        <v>88886.91</v>
      </c>
      <c r="I185" s="47">
        <f>I104+I132+I161+I184</f>
        <v>250000</v>
      </c>
      <c r="J185" s="47">
        <f>J104+J132+J184</f>
        <v>9421.74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597780.05000000005</v>
      </c>
      <c r="G189" s="18">
        <v>222623.31</v>
      </c>
      <c r="H189" s="18"/>
      <c r="I189" s="18">
        <v>14413.09</v>
      </c>
      <c r="J189" s="18">
        <v>2834.63</v>
      </c>
      <c r="K189" s="18"/>
      <c r="L189" s="19">
        <f>SUM(F189:K189)</f>
        <v>837651.08000000007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91026.96</v>
      </c>
      <c r="G190" s="18">
        <v>70074.64</v>
      </c>
      <c r="H190" s="18">
        <v>86040.66</v>
      </c>
      <c r="I190" s="18">
        <v>1</v>
      </c>
      <c r="J190" s="18"/>
      <c r="K190" s="18"/>
      <c r="L190" s="19">
        <f>SUM(F190:K190)</f>
        <v>247143.26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7335.02</v>
      </c>
      <c r="G192" s="18">
        <v>967.56</v>
      </c>
      <c r="H192" s="18">
        <v>3959.6</v>
      </c>
      <c r="I192" s="18">
        <v>1134.58</v>
      </c>
      <c r="J192" s="18"/>
      <c r="K192" s="18">
        <v>1834</v>
      </c>
      <c r="L192" s="19">
        <f>SUM(F192:K192)</f>
        <v>15230.76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25312.16+20782.83</f>
        <v>46094.990000000005</v>
      </c>
      <c r="G194" s="18">
        <f>2017.39+1656.56</f>
        <v>3673.95</v>
      </c>
      <c r="H194" s="18">
        <f>1948.37+6687.5+42674.03+21436.3</f>
        <v>72746.2</v>
      </c>
      <c r="I194" s="18">
        <v>403.56</v>
      </c>
      <c r="J194" s="18"/>
      <c r="K194" s="18"/>
      <c r="L194" s="19">
        <f t="shared" ref="L194:L200" si="0">SUM(F194:K194)</f>
        <v>122918.7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1305+34547.24</f>
        <v>35852.239999999998</v>
      </c>
      <c r="G195" s="18">
        <f>215.27+7714+12527.1</f>
        <v>20456.370000000003</v>
      </c>
      <c r="H195" s="18">
        <v>2741.69</v>
      </c>
      <c r="I195" s="18">
        <f>150+2398.58</f>
        <v>2548.58</v>
      </c>
      <c r="J195" s="18"/>
      <c r="K195" s="18"/>
      <c r="L195" s="19">
        <f t="shared" si="0"/>
        <v>61598.880000000005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760.79+2000</f>
        <v>2760.79</v>
      </c>
      <c r="G196" s="18">
        <f>131+159.4</f>
        <v>290.39999999999998</v>
      </c>
      <c r="H196" s="18">
        <f>87.72+100+120+6300+1172.33+100+159834</f>
        <v>167714.04999999999</v>
      </c>
      <c r="I196" s="18">
        <v>863.37</v>
      </c>
      <c r="J196" s="18"/>
      <c r="K196" s="18"/>
      <c r="L196" s="19">
        <f t="shared" si="0"/>
        <v>171628.61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103432.15</v>
      </c>
      <c r="G197" s="18">
        <v>18397.32</v>
      </c>
      <c r="H197" s="18">
        <v>10972.58</v>
      </c>
      <c r="I197" s="18">
        <f>3161.15+346.87</f>
        <v>3508.02</v>
      </c>
      <c r="J197" s="18">
        <v>102.4</v>
      </c>
      <c r="K197" s="18">
        <v>89</v>
      </c>
      <c r="L197" s="19">
        <f t="shared" si="0"/>
        <v>136501.46999999997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48412.63</v>
      </c>
      <c r="G199" s="18">
        <v>26077.34</v>
      </c>
      <c r="H199" s="18">
        <v>87119.61</v>
      </c>
      <c r="I199" s="18">
        <v>56188.49</v>
      </c>
      <c r="J199" s="18"/>
      <c r="K199" s="18"/>
      <c r="L199" s="19">
        <f t="shared" si="0"/>
        <v>217798.07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122550.73+33883.96+2489.65+1951.8</f>
        <v>160876.13999999998</v>
      </c>
      <c r="I200" s="18"/>
      <c r="J200" s="18"/>
      <c r="K200" s="18"/>
      <c r="L200" s="19">
        <f t="shared" si="0"/>
        <v>160876.13999999998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v>1901</v>
      </c>
      <c r="I201" s="18"/>
      <c r="J201" s="18"/>
      <c r="K201" s="18"/>
      <c r="L201" s="19">
        <f>SUM(F201:K201)</f>
        <v>1901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932694.83000000007</v>
      </c>
      <c r="G203" s="41">
        <f t="shared" si="1"/>
        <v>362560.89000000007</v>
      </c>
      <c r="H203" s="41">
        <f t="shared" si="1"/>
        <v>594071.53</v>
      </c>
      <c r="I203" s="41">
        <f t="shared" si="1"/>
        <v>79060.69</v>
      </c>
      <c r="J203" s="41">
        <f t="shared" si="1"/>
        <v>2937.03</v>
      </c>
      <c r="K203" s="41">
        <f t="shared" si="1"/>
        <v>1923</v>
      </c>
      <c r="L203" s="41">
        <f t="shared" si="1"/>
        <v>1973247.97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573996.15</v>
      </c>
      <c r="I225" s="18"/>
      <c r="J225" s="18"/>
      <c r="K225" s="18"/>
      <c r="L225" s="19">
        <f>SUM(F225:K225)</f>
        <v>573996.15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247181.5</v>
      </c>
      <c r="I226" s="18"/>
      <c r="J226" s="18"/>
      <c r="K226" s="18"/>
      <c r="L226" s="19">
        <f>SUM(F226:K226)</f>
        <v>247181.5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43499.64</v>
      </c>
      <c r="I236" s="18"/>
      <c r="J236" s="18"/>
      <c r="K236" s="18"/>
      <c r="L236" s="19">
        <f t="shared" si="4"/>
        <v>43499.64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864677.29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864677.29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932694.83000000007</v>
      </c>
      <c r="G249" s="41">
        <f t="shared" si="8"/>
        <v>362560.89000000007</v>
      </c>
      <c r="H249" s="41">
        <f t="shared" si="8"/>
        <v>1458748.82</v>
      </c>
      <c r="I249" s="41">
        <f t="shared" si="8"/>
        <v>79060.69</v>
      </c>
      <c r="J249" s="41">
        <f t="shared" si="8"/>
        <v>2937.03</v>
      </c>
      <c r="K249" s="41">
        <f t="shared" si="8"/>
        <v>1923</v>
      </c>
      <c r="L249" s="41">
        <f t="shared" si="8"/>
        <v>2837925.26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45000</v>
      </c>
      <c r="L252" s="19">
        <f>SUM(F252:K252)</f>
        <v>45000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18401.64</v>
      </c>
      <c r="L253" s="19">
        <f>SUM(F253:K253)</f>
        <v>18401.64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43404.98</v>
      </c>
      <c r="L255" s="19">
        <f>SUM(F255:K255)</f>
        <v>43404.98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9183</v>
      </c>
      <c r="L258" s="19">
        <f t="shared" si="9"/>
        <v>9183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115989.62</v>
      </c>
      <c r="L262" s="41">
        <f t="shared" si="9"/>
        <v>115989.62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932694.83000000007</v>
      </c>
      <c r="G263" s="42">
        <f t="shared" si="11"/>
        <v>362560.89000000007</v>
      </c>
      <c r="H263" s="42">
        <f t="shared" si="11"/>
        <v>1458748.82</v>
      </c>
      <c r="I263" s="42">
        <f t="shared" si="11"/>
        <v>79060.69</v>
      </c>
      <c r="J263" s="42">
        <f t="shared" si="11"/>
        <v>2937.03</v>
      </c>
      <c r="K263" s="42">
        <f t="shared" si="11"/>
        <v>117912.62</v>
      </c>
      <c r="L263" s="42">
        <f t="shared" si="11"/>
        <v>2953914.88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390+12186.81</f>
        <v>12576.81</v>
      </c>
      <c r="G268" s="18">
        <f>29.84+932.32+31.28+1.25+38.52</f>
        <v>1033.21</v>
      </c>
      <c r="H268" s="18"/>
      <c r="I268" s="18">
        <f>178+3624.56+149.34+4000+2075</f>
        <v>10026.9</v>
      </c>
      <c r="J268" s="18">
        <f>1837.5+3727.65</f>
        <v>5565.15</v>
      </c>
      <c r="K268" s="18"/>
      <c r="L268" s="19">
        <f>SUM(F268:K268)</f>
        <v>29202.07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20158</v>
      </c>
      <c r="G269" s="18">
        <f>1515.04+64.51</f>
        <v>1579.55</v>
      </c>
      <c r="H269" s="18"/>
      <c r="I269" s="18">
        <f>405.9+4324.39+872.86+50.37</f>
        <v>5653.5199999999995</v>
      </c>
      <c r="J269" s="18"/>
      <c r="K269" s="18"/>
      <c r="L269" s="19">
        <f>SUM(F269:K269)</f>
        <v>27391.07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f>8185.76+17203</f>
        <v>25388.760000000002</v>
      </c>
      <c r="I274" s="18">
        <v>100</v>
      </c>
      <c r="J274" s="18">
        <v>1804.2</v>
      </c>
      <c r="K274" s="18"/>
      <c r="L274" s="19">
        <f t="shared" si="12"/>
        <v>27292.960000000003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v>1620</v>
      </c>
      <c r="I275" s="18"/>
      <c r="J275" s="18"/>
      <c r="K275" s="18"/>
      <c r="L275" s="19">
        <f t="shared" si="12"/>
        <v>1620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v>3380.81</v>
      </c>
      <c r="L277" s="19">
        <f t="shared" si="12"/>
        <v>3380.81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32734.809999999998</v>
      </c>
      <c r="G282" s="42">
        <f t="shared" si="13"/>
        <v>2612.7600000000002</v>
      </c>
      <c r="H282" s="42">
        <f t="shared" si="13"/>
        <v>27008.760000000002</v>
      </c>
      <c r="I282" s="42">
        <f t="shared" si="13"/>
        <v>15780.419999999998</v>
      </c>
      <c r="J282" s="42">
        <f t="shared" si="13"/>
        <v>7369.3499999999995</v>
      </c>
      <c r="K282" s="42">
        <f t="shared" si="13"/>
        <v>3380.81</v>
      </c>
      <c r="L282" s="41">
        <f t="shared" si="13"/>
        <v>88886.91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32734.809999999998</v>
      </c>
      <c r="G330" s="41">
        <f t="shared" si="20"/>
        <v>2612.7600000000002</v>
      </c>
      <c r="H330" s="41">
        <f t="shared" si="20"/>
        <v>27008.760000000002</v>
      </c>
      <c r="I330" s="41">
        <f t="shared" si="20"/>
        <v>15780.419999999998</v>
      </c>
      <c r="J330" s="41">
        <f t="shared" si="20"/>
        <v>7369.3499999999995</v>
      </c>
      <c r="K330" s="41">
        <f t="shared" si="20"/>
        <v>3380.81</v>
      </c>
      <c r="L330" s="41">
        <f t="shared" si="20"/>
        <v>88886.91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32734.809999999998</v>
      </c>
      <c r="G344" s="41">
        <f>G330</f>
        <v>2612.7600000000002</v>
      </c>
      <c r="H344" s="41">
        <f>H330</f>
        <v>27008.760000000002</v>
      </c>
      <c r="I344" s="41">
        <f>I330</f>
        <v>15780.419999999998</v>
      </c>
      <c r="J344" s="41">
        <f>J330</f>
        <v>7369.3499999999995</v>
      </c>
      <c r="K344" s="47">
        <f>K330+K343</f>
        <v>3380.81</v>
      </c>
      <c r="L344" s="41">
        <f>L330+L343</f>
        <v>88886.91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31276.47</v>
      </c>
      <c r="G350" s="18">
        <f>13199.11+518.13+81+88.66+2219.73+2244.52+521.13</f>
        <v>18872.28</v>
      </c>
      <c r="H350" s="18">
        <f>300.29+97.9</f>
        <v>398.19000000000005</v>
      </c>
      <c r="I350" s="18">
        <f>9662.75+49350.81</f>
        <v>59013.56</v>
      </c>
      <c r="J350" s="18">
        <v>176.89</v>
      </c>
      <c r="K350" s="18">
        <v>290.5</v>
      </c>
      <c r="L350" s="13">
        <f>SUM(F350:K350)</f>
        <v>110027.89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31276.47</v>
      </c>
      <c r="G354" s="47">
        <f t="shared" si="22"/>
        <v>18872.28</v>
      </c>
      <c r="H354" s="47">
        <f t="shared" si="22"/>
        <v>398.19000000000005</v>
      </c>
      <c r="I354" s="47">
        <f t="shared" si="22"/>
        <v>59013.56</v>
      </c>
      <c r="J354" s="47">
        <f t="shared" si="22"/>
        <v>176.89</v>
      </c>
      <c r="K354" s="47">
        <f t="shared" si="22"/>
        <v>290.5</v>
      </c>
      <c r="L354" s="47">
        <f t="shared" si="22"/>
        <v>110027.89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49350.81</v>
      </c>
      <c r="G359" s="18"/>
      <c r="H359" s="18"/>
      <c r="I359" s="56">
        <f>SUM(F359:H359)</f>
        <v>49350.81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9662.75</v>
      </c>
      <c r="G360" s="63"/>
      <c r="H360" s="63"/>
      <c r="I360" s="56">
        <f>SUM(F360:H360)</f>
        <v>9662.75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59013.56</v>
      </c>
      <c r="G361" s="47">
        <f>SUM(G359:G360)</f>
        <v>0</v>
      </c>
      <c r="H361" s="47">
        <f>SUM(H359:H360)</f>
        <v>0</v>
      </c>
      <c r="I361" s="47">
        <f>SUM(I359:I360)</f>
        <v>59013.56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1150</v>
      </c>
      <c r="I368" s="18"/>
      <c r="J368" s="18"/>
      <c r="K368" s="18"/>
      <c r="L368" s="13">
        <f t="shared" si="23"/>
        <v>1150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v>211637.47</v>
      </c>
      <c r="I371" s="18"/>
      <c r="J371" s="18"/>
      <c r="K371" s="18"/>
      <c r="L371" s="13">
        <f t="shared" si="23"/>
        <v>211637.47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>
        <v>8004.42</v>
      </c>
      <c r="I372" s="18"/>
      <c r="J372" s="18"/>
      <c r="K372" s="18"/>
      <c r="L372" s="13">
        <f t="shared" si="23"/>
        <v>8004.42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615.63</v>
      </c>
      <c r="L373" s="13">
        <f t="shared" si="23"/>
        <v>615.63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220791.89</v>
      </c>
      <c r="I374" s="41">
        <f t="shared" si="24"/>
        <v>0</v>
      </c>
      <c r="J374" s="47">
        <f t="shared" si="24"/>
        <v>0</v>
      </c>
      <c r="K374" s="47">
        <f t="shared" si="24"/>
        <v>615.63</v>
      </c>
      <c r="L374" s="47">
        <f t="shared" si="24"/>
        <v>221407.52000000002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9183</v>
      </c>
      <c r="H381" s="18">
        <v>52.07</v>
      </c>
      <c r="I381" s="18"/>
      <c r="J381" s="24" t="s">
        <v>312</v>
      </c>
      <c r="K381" s="24" t="s">
        <v>312</v>
      </c>
      <c r="L381" s="56">
        <f t="shared" si="25"/>
        <v>9235.07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9183</v>
      </c>
      <c r="H385" s="139">
        <f>SUM(H379:H384)</f>
        <v>52.07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9235.07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186.67</v>
      </c>
      <c r="I390" s="18"/>
      <c r="J390" s="24" t="s">
        <v>312</v>
      </c>
      <c r="K390" s="24" t="s">
        <v>312</v>
      </c>
      <c r="L390" s="56">
        <f t="shared" si="26"/>
        <v>186.67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186.67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186.67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9183</v>
      </c>
      <c r="H400" s="47">
        <f>H385+H393+H399</f>
        <v>238.73999999999998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9421.74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>
        <v>35000</v>
      </c>
      <c r="I407" s="18"/>
      <c r="J407" s="18"/>
      <c r="K407" s="18"/>
      <c r="L407" s="56">
        <f t="shared" si="27"/>
        <v>35000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35000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35000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35000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35000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17053.669999999998</v>
      </c>
      <c r="G432" s="18">
        <v>125630.49</v>
      </c>
      <c r="H432" s="18"/>
      <c r="I432" s="56">
        <f t="shared" si="33"/>
        <v>142684.16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17053.669999999998</v>
      </c>
      <c r="G438" s="13">
        <f>SUM(G431:G437)</f>
        <v>125630.49</v>
      </c>
      <c r="H438" s="13">
        <f>SUM(H431:H437)</f>
        <v>0</v>
      </c>
      <c r="I438" s="13">
        <f>SUM(I431:I437)</f>
        <v>142684.16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17053.669999999998</v>
      </c>
      <c r="G449" s="18">
        <v>125630.49</v>
      </c>
      <c r="H449" s="18"/>
      <c r="I449" s="56">
        <f>SUM(F449:H449)</f>
        <v>142684.16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17053.669999999998</v>
      </c>
      <c r="G450" s="83">
        <f>SUM(G446:G449)</f>
        <v>125630.49</v>
      </c>
      <c r="H450" s="83">
        <f>SUM(H446:H449)</f>
        <v>0</v>
      </c>
      <c r="I450" s="83">
        <f>SUM(I446:I449)</f>
        <v>142684.16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17053.669999999998</v>
      </c>
      <c r="G451" s="42">
        <f>G444+G450</f>
        <v>125630.49</v>
      </c>
      <c r="H451" s="42">
        <f>H444+H450</f>
        <v>0</v>
      </c>
      <c r="I451" s="42">
        <f>I444+I450</f>
        <v>142684.16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33890.42</v>
      </c>
      <c r="G455" s="18">
        <v>0</v>
      </c>
      <c r="H455" s="18">
        <v>0</v>
      </c>
      <c r="I455" s="18">
        <v>-28592.48</v>
      </c>
      <c r="J455" s="18">
        <v>168262.42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2951758.68</v>
      </c>
      <c r="G458" s="18">
        <v>110027.89</v>
      </c>
      <c r="H458" s="18">
        <v>88886.91</v>
      </c>
      <c r="I458" s="18">
        <v>250000</v>
      </c>
      <c r="J458" s="18">
        <f>186.67+52.07+9183</f>
        <v>9421.74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2951758.68</v>
      </c>
      <c r="G460" s="53">
        <f>SUM(G458:G459)</f>
        <v>110027.89</v>
      </c>
      <c r="H460" s="53">
        <f>SUM(H458:H459)</f>
        <v>88886.91</v>
      </c>
      <c r="I460" s="53">
        <f>SUM(I458:I459)</f>
        <v>250000</v>
      </c>
      <c r="J460" s="53">
        <f>SUM(J458:J459)</f>
        <v>9421.74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2953914.88</v>
      </c>
      <c r="G462" s="18">
        <v>110027.89</v>
      </c>
      <c r="H462" s="18">
        <v>88886.91</v>
      </c>
      <c r="I462" s="18">
        <v>221407.52</v>
      </c>
      <c r="J462" s="18">
        <v>35000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2953914.88</v>
      </c>
      <c r="G464" s="53">
        <f>SUM(G462:G463)</f>
        <v>110027.89</v>
      </c>
      <c r="H464" s="53">
        <f>SUM(H462:H463)</f>
        <v>88886.91</v>
      </c>
      <c r="I464" s="53">
        <f>SUM(I462:I463)</f>
        <v>221407.52</v>
      </c>
      <c r="J464" s="53">
        <f>SUM(J462:J463)</f>
        <v>35000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31734.220000000205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142684.16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>
        <v>5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 t="s">
        <v>896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 t="s">
        <v>897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440000</v>
      </c>
      <c r="G483" s="18">
        <v>215000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4.28</v>
      </c>
      <c r="G484" s="18">
        <v>1.99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345000</v>
      </c>
      <c r="G485" s="18">
        <v>207000</v>
      </c>
      <c r="H485" s="18"/>
      <c r="I485" s="18"/>
      <c r="J485" s="18"/>
      <c r="K485" s="53">
        <f>SUM(F485:J485)</f>
        <v>552000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45000</v>
      </c>
      <c r="G487" s="18">
        <v>0</v>
      </c>
      <c r="H487" s="18"/>
      <c r="I487" s="18"/>
      <c r="J487" s="18"/>
      <c r="K487" s="53">
        <f t="shared" si="34"/>
        <v>45000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300000</v>
      </c>
      <c r="G488" s="205">
        <v>207000</v>
      </c>
      <c r="H488" s="205"/>
      <c r="I488" s="205"/>
      <c r="J488" s="205"/>
      <c r="K488" s="206">
        <f t="shared" si="34"/>
        <v>507000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48243.75</v>
      </c>
      <c r="G489" s="18">
        <f>20829.14-3964.14</f>
        <v>16865</v>
      </c>
      <c r="H489" s="18"/>
      <c r="I489" s="18"/>
      <c r="J489" s="18"/>
      <c r="K489" s="53">
        <f t="shared" si="34"/>
        <v>65108.75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348243.75</v>
      </c>
      <c r="G490" s="42">
        <f>SUM(G488:G489)</f>
        <v>223865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572108.75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45000</v>
      </c>
      <c r="G491" s="205">
        <v>42000</v>
      </c>
      <c r="H491" s="205"/>
      <c r="I491" s="205"/>
      <c r="J491" s="205"/>
      <c r="K491" s="206">
        <f t="shared" si="34"/>
        <v>87000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6768.75+5868.75</f>
        <v>12637.5</v>
      </c>
      <c r="G492" s="18">
        <f>3515+2675</f>
        <v>6190</v>
      </c>
      <c r="H492" s="18"/>
      <c r="I492" s="18"/>
      <c r="J492" s="18"/>
      <c r="K492" s="53">
        <f t="shared" si="34"/>
        <v>18827.5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57637.5</v>
      </c>
      <c r="G493" s="42">
        <f>SUM(G491:G492)</f>
        <v>48190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105827.5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44404.12+26345.26+20277.58+20158</f>
        <v>111184.96000000001</v>
      </c>
      <c r="G511" s="18">
        <f>56427.51+1652.28+265.47+294.19+6582.96+4559.71+292.52+1515.04+64.51</f>
        <v>71654.19</v>
      </c>
      <c r="H511" s="18">
        <f>1624.14+1040+14436.45+59764.87+9175.2</f>
        <v>86040.66</v>
      </c>
      <c r="I511" s="18">
        <f>1+405.9+4324.39+872.86+50.37</f>
        <v>5654.5199999999995</v>
      </c>
      <c r="J511" s="18"/>
      <c r="K511" s="18"/>
      <c r="L511" s="88">
        <f>SUM(F511:K511)</f>
        <v>274534.33000000007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247181.5</v>
      </c>
      <c r="I513" s="18"/>
      <c r="J513" s="18"/>
      <c r="K513" s="18"/>
      <c r="L513" s="88">
        <f>SUM(F513:K513)</f>
        <v>247181.5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111184.96000000001</v>
      </c>
      <c r="G514" s="108">
        <f t="shared" ref="G514:L514" si="35">SUM(G511:G513)</f>
        <v>71654.19</v>
      </c>
      <c r="H514" s="108">
        <f t="shared" si="35"/>
        <v>333222.16000000003</v>
      </c>
      <c r="I514" s="108">
        <f t="shared" si="35"/>
        <v>5654.5199999999995</v>
      </c>
      <c r="J514" s="108">
        <f t="shared" si="35"/>
        <v>0</v>
      </c>
      <c r="K514" s="108">
        <f t="shared" si="35"/>
        <v>0</v>
      </c>
      <c r="L514" s="89">
        <f t="shared" si="35"/>
        <v>521715.83000000007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f>198.37+6687.5+42674.03+21436.3+17203</f>
        <v>88199.2</v>
      </c>
      <c r="I516" s="18">
        <v>100</v>
      </c>
      <c r="J516" s="18">
        <v>1804.2</v>
      </c>
      <c r="K516" s="18"/>
      <c r="L516" s="88">
        <f>SUM(F516:K516)</f>
        <v>90103.4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88199.2</v>
      </c>
      <c r="I519" s="89">
        <f t="shared" si="36"/>
        <v>100</v>
      </c>
      <c r="J519" s="89">
        <f t="shared" si="36"/>
        <v>1804.2</v>
      </c>
      <c r="K519" s="89">
        <f t="shared" si="36"/>
        <v>0</v>
      </c>
      <c r="L519" s="89">
        <f t="shared" si="36"/>
        <v>90103.4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15746</v>
      </c>
      <c r="I521" s="18"/>
      <c r="J521" s="18"/>
      <c r="K521" s="18">
        <v>2194.1999999999998</v>
      </c>
      <c r="L521" s="88">
        <f>SUM(F521:K521)</f>
        <v>17940.2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15746</v>
      </c>
      <c r="I524" s="89">
        <f t="shared" si="37"/>
        <v>0</v>
      </c>
      <c r="J524" s="89">
        <f t="shared" si="37"/>
        <v>0</v>
      </c>
      <c r="K524" s="89">
        <f t="shared" si="37"/>
        <v>2194.1999999999998</v>
      </c>
      <c r="L524" s="89">
        <f t="shared" si="37"/>
        <v>17940.2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33883.96</v>
      </c>
      <c r="I531" s="18"/>
      <c r="J531" s="18"/>
      <c r="K531" s="18"/>
      <c r="L531" s="88">
        <f>SUM(F531:K531)</f>
        <v>33883.96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33883.96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33883.96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111184.96000000001</v>
      </c>
      <c r="G535" s="89">
        <f t="shared" ref="G535:L535" si="40">G514+G519+G524+G529+G534</f>
        <v>71654.19</v>
      </c>
      <c r="H535" s="89">
        <f t="shared" si="40"/>
        <v>471051.32000000007</v>
      </c>
      <c r="I535" s="89">
        <f t="shared" si="40"/>
        <v>5754.5199999999995</v>
      </c>
      <c r="J535" s="89">
        <f t="shared" si="40"/>
        <v>1804.2</v>
      </c>
      <c r="K535" s="89">
        <f t="shared" si="40"/>
        <v>2194.1999999999998</v>
      </c>
      <c r="L535" s="89">
        <f t="shared" si="40"/>
        <v>663643.39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274534.33000000007</v>
      </c>
      <c r="G539" s="87">
        <f>L516</f>
        <v>90103.4</v>
      </c>
      <c r="H539" s="87">
        <f>L521</f>
        <v>17940.2</v>
      </c>
      <c r="I539" s="87">
        <f>L526</f>
        <v>0</v>
      </c>
      <c r="J539" s="87">
        <f>L531</f>
        <v>33883.96</v>
      </c>
      <c r="K539" s="87">
        <f>SUM(F539:J539)</f>
        <v>416461.89000000013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247181.5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247181.5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521715.83000000007</v>
      </c>
      <c r="G542" s="89">
        <f t="shared" si="41"/>
        <v>90103.4</v>
      </c>
      <c r="H542" s="89">
        <f t="shared" si="41"/>
        <v>17940.2</v>
      </c>
      <c r="I542" s="89">
        <f t="shared" si="41"/>
        <v>0</v>
      </c>
      <c r="J542" s="89">
        <f t="shared" si="41"/>
        <v>33883.96</v>
      </c>
      <c r="K542" s="89">
        <f t="shared" si="41"/>
        <v>663643.39000000013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573996.15</v>
      </c>
      <c r="I565" s="87">
        <f>SUM(F565:H565)</f>
        <v>573996.15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f>14436.45+9175.2</f>
        <v>23611.65</v>
      </c>
      <c r="G569" s="18"/>
      <c r="H569" s="18">
        <v>205181.5</v>
      </c>
      <c r="I569" s="87">
        <f t="shared" si="46"/>
        <v>228793.15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59764.87</v>
      </c>
      <c r="G572" s="18"/>
      <c r="H572" s="18">
        <v>42000</v>
      </c>
      <c r="I572" s="87">
        <f t="shared" si="46"/>
        <v>101764.87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122550.73</v>
      </c>
      <c r="I581" s="18"/>
      <c r="J581" s="18">
        <v>43499.64</v>
      </c>
      <c r="K581" s="104">
        <f t="shared" ref="K581:K587" si="47">SUM(H581:J581)</f>
        <v>166050.37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33883.96</v>
      </c>
      <c r="I582" s="18"/>
      <c r="J582" s="18"/>
      <c r="K582" s="104">
        <f t="shared" si="47"/>
        <v>33883.96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2489.65</v>
      </c>
      <c r="I584" s="18"/>
      <c r="J584" s="18"/>
      <c r="K584" s="104">
        <f t="shared" si="47"/>
        <v>2489.65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1951.8</v>
      </c>
      <c r="I585" s="18"/>
      <c r="J585" s="18"/>
      <c r="K585" s="104">
        <f t="shared" si="47"/>
        <v>1951.8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160876.13999999998</v>
      </c>
      <c r="I588" s="108">
        <f>SUM(I581:I587)</f>
        <v>0</v>
      </c>
      <c r="J588" s="108">
        <f>SUM(J581:J587)</f>
        <v>43499.64</v>
      </c>
      <c r="K588" s="108">
        <f>SUM(K581:K587)</f>
        <v>204375.77999999997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10306.379999999999</v>
      </c>
      <c r="I594" s="18"/>
      <c r="J594" s="18"/>
      <c r="K594" s="104">
        <f>SUM(H594:J594)</f>
        <v>10306.379999999999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10306.379999999999</v>
      </c>
      <c r="I595" s="108">
        <f>SUM(I592:I594)</f>
        <v>0</v>
      </c>
      <c r="J595" s="108">
        <f>SUM(J592:J594)</f>
        <v>0</v>
      </c>
      <c r="K595" s="108">
        <f>SUM(K592:K594)</f>
        <v>10306.379999999999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3240</v>
      </c>
      <c r="G601" s="18">
        <f>248+260+10</f>
        <v>518</v>
      </c>
      <c r="H601" s="18"/>
      <c r="I601" s="18"/>
      <c r="J601" s="18"/>
      <c r="K601" s="18"/>
      <c r="L601" s="88">
        <f>SUM(F601:K601)</f>
        <v>3758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3240</v>
      </c>
      <c r="G604" s="108">
        <f t="shared" si="48"/>
        <v>518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3758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67014.349999999991</v>
      </c>
      <c r="H607" s="109">
        <f>SUM(F44)</f>
        <v>67014.350000000006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1438.3000000000002</v>
      </c>
      <c r="H608" s="109">
        <f>SUM(G44)</f>
        <v>1438.3000000000002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75269.2</v>
      </c>
      <c r="H609" s="109">
        <f>SUM(H44)</f>
        <v>75269.2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142684.16</v>
      </c>
      <c r="H611" s="109">
        <f>SUM(J44)</f>
        <v>142684.16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31734.22</v>
      </c>
      <c r="H612" s="109">
        <f>F466</f>
        <v>31734.220000000205</v>
      </c>
      <c r="I612" s="121" t="s">
        <v>106</v>
      </c>
      <c r="J612" s="109">
        <f t="shared" ref="J612:J645" si="49">G612-H612</f>
        <v>-2.0372681319713593E-10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142684.16</v>
      </c>
      <c r="H616" s="109">
        <f>J466</f>
        <v>142684.16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2951758.6799999997</v>
      </c>
      <c r="H617" s="104">
        <f>SUM(F458)</f>
        <v>2951758.68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110027.89000000001</v>
      </c>
      <c r="H618" s="104">
        <f>SUM(G458)</f>
        <v>110027.89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88886.91</v>
      </c>
      <c r="H619" s="104">
        <f>SUM(H458)</f>
        <v>88886.91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250000</v>
      </c>
      <c r="H620" s="104">
        <f>SUM(I458)</f>
        <v>250000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9421.74</v>
      </c>
      <c r="H621" s="104">
        <f>SUM(J458)</f>
        <v>9421.74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2953914.88</v>
      </c>
      <c r="H622" s="104">
        <f>SUM(F462)</f>
        <v>2953914.88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88886.91</v>
      </c>
      <c r="H623" s="104">
        <f>SUM(H462)</f>
        <v>88886.91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59013.56</v>
      </c>
      <c r="H624" s="104">
        <f>I361</f>
        <v>59013.56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110027.89</v>
      </c>
      <c r="H625" s="104">
        <f>SUM(G462)</f>
        <v>110027.89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221407.52000000002</v>
      </c>
      <c r="H626" s="104">
        <f>SUM(I462)</f>
        <v>221407.52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9421.74</v>
      </c>
      <c r="H627" s="164">
        <f>SUM(J458)</f>
        <v>9421.74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35000</v>
      </c>
      <c r="H628" s="164">
        <f>SUM(J462)</f>
        <v>35000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17053.669999999998</v>
      </c>
      <c r="H629" s="104">
        <f>SUM(F451)</f>
        <v>17053.669999999998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125630.49</v>
      </c>
      <c r="H630" s="104">
        <f>SUM(G451)</f>
        <v>125630.49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142684.16</v>
      </c>
      <c r="H632" s="104">
        <f>SUM(I451)</f>
        <v>142684.16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238.73999999999998</v>
      </c>
      <c r="H634" s="104">
        <f>H400</f>
        <v>238.73999999999998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9183</v>
      </c>
      <c r="H635" s="104">
        <f>G400</f>
        <v>9183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9421.74</v>
      </c>
      <c r="H636" s="104">
        <f>L400</f>
        <v>9421.74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204375.77999999997</v>
      </c>
      <c r="H637" s="104">
        <f>L200+L218+L236</f>
        <v>204375.77999999997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10306.379999999999</v>
      </c>
      <c r="H638" s="104">
        <f>(J249+J330)-(J247+J328)</f>
        <v>10306.379999999999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160876.13999999998</v>
      </c>
      <c r="H639" s="104">
        <f>H588</f>
        <v>160876.13999999998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43499.64</v>
      </c>
      <c r="H641" s="104">
        <f>J588</f>
        <v>43499.64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43404.98</v>
      </c>
      <c r="H642" s="104">
        <f>K255+K337</f>
        <v>43404.98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9183</v>
      </c>
      <c r="H645" s="104">
        <f>K258+K339</f>
        <v>9183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2172162.77</v>
      </c>
      <c r="G650" s="19">
        <f>(L221+L301+L351)</f>
        <v>0</v>
      </c>
      <c r="H650" s="19">
        <f>(L239+L320+L352)</f>
        <v>864677.29</v>
      </c>
      <c r="I650" s="19">
        <f>SUM(F650:H650)</f>
        <v>3036840.06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44326.729999999996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44326.729999999996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160876.13999999998</v>
      </c>
      <c r="G652" s="19">
        <f>(L218+L298)-(J218+J298)</f>
        <v>0</v>
      </c>
      <c r="H652" s="19">
        <f>(L236+L317)-(J236+J317)</f>
        <v>43499.64</v>
      </c>
      <c r="I652" s="19">
        <f>SUM(F652:H652)</f>
        <v>204375.77999999997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97440.900000000009</v>
      </c>
      <c r="G653" s="200">
        <f>SUM(G565:G577)+SUM(I592:I594)+L602</f>
        <v>0</v>
      </c>
      <c r="H653" s="200">
        <f>SUM(H565:H577)+SUM(J592:J594)+L603</f>
        <v>821177.65</v>
      </c>
      <c r="I653" s="19">
        <f>SUM(F653:H653)</f>
        <v>918618.55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1869519</v>
      </c>
      <c r="G654" s="19">
        <f>G650-SUM(G651:G653)</f>
        <v>0</v>
      </c>
      <c r="H654" s="19">
        <f>H650-SUM(H651:H653)</f>
        <v>0</v>
      </c>
      <c r="I654" s="19">
        <f>I650-SUM(I651:I653)</f>
        <v>1869519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154.36000000000001</v>
      </c>
      <c r="G655" s="249"/>
      <c r="H655" s="249"/>
      <c r="I655" s="19">
        <f>SUM(F655:H655)</f>
        <v>154.36000000000001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12111.42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12111.42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12111.42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12111.42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967C2-089D-4E82-B034-C14CA1DCFC9A}">
  <sheetPr>
    <tabColor indexed="20"/>
  </sheetPr>
  <dimension ref="A1:C52"/>
  <sheetViews>
    <sheetView topLeftCell="A13" workbookViewId="0">
      <selection activeCell="C39" sqref="C3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Westmoreland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610356.8600000001</v>
      </c>
      <c r="C9" s="230">
        <f>'DOE25'!G189+'DOE25'!G207+'DOE25'!G225+'DOE25'!G268+'DOE25'!G287+'DOE25'!G306</f>
        <v>223656.52</v>
      </c>
    </row>
    <row r="10" spans="1:3" x14ac:dyDescent="0.2">
      <c r="A10" t="s">
        <v>810</v>
      </c>
      <c r="B10" s="241">
        <v>576272.16</v>
      </c>
      <c r="C10" s="241">
        <v>211166.67</v>
      </c>
    </row>
    <row r="11" spans="1:3" x14ac:dyDescent="0.2">
      <c r="A11" t="s">
        <v>811</v>
      </c>
      <c r="B11" s="241">
        <v>34084.699999999997</v>
      </c>
      <c r="C11" s="241">
        <v>12489.85</v>
      </c>
    </row>
    <row r="12" spans="1:3" x14ac:dyDescent="0.2">
      <c r="A12" t="s">
        <v>812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610356.86</v>
      </c>
      <c r="C13" s="232">
        <f>SUM(C10:C12)</f>
        <v>223656.52000000002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111184.96000000001</v>
      </c>
      <c r="C18" s="230">
        <f>'DOE25'!G190+'DOE25'!G208+'DOE25'!G226+'DOE25'!G269+'DOE25'!G288+'DOE25'!G307</f>
        <v>71654.19</v>
      </c>
    </row>
    <row r="19" spans="1:3" x14ac:dyDescent="0.2">
      <c r="A19" t="s">
        <v>810</v>
      </c>
      <c r="B19" s="241">
        <v>44404.12</v>
      </c>
      <c r="C19" s="241">
        <v>28616.65</v>
      </c>
    </row>
    <row r="20" spans="1:3" x14ac:dyDescent="0.2">
      <c r="A20" t="s">
        <v>811</v>
      </c>
      <c r="B20" s="241">
        <v>66780.84</v>
      </c>
      <c r="C20" s="241">
        <v>43037.54</v>
      </c>
    </row>
    <row r="21" spans="1:3" x14ac:dyDescent="0.2">
      <c r="A21" t="s">
        <v>812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111184.95999999999</v>
      </c>
      <c r="C22" s="232">
        <f>SUM(C19:C21)</f>
        <v>71654.19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7335.02</v>
      </c>
      <c r="C36" s="236">
        <f>'DOE25'!G192+'DOE25'!G210+'DOE25'!G228+'DOE25'!G271+'DOE25'!G290+'DOE25'!G309</f>
        <v>967.56</v>
      </c>
    </row>
    <row r="37" spans="1:3" x14ac:dyDescent="0.2">
      <c r="A37" t="s">
        <v>810</v>
      </c>
      <c r="B37" s="241">
        <v>7335.02</v>
      </c>
      <c r="C37" s="241">
        <v>967.56</v>
      </c>
    </row>
    <row r="38" spans="1:3" x14ac:dyDescent="0.2">
      <c r="A38" t="s">
        <v>811</v>
      </c>
      <c r="B38" s="241">
        <v>0</v>
      </c>
      <c r="C38" s="241">
        <v>0</v>
      </c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7335.02</v>
      </c>
      <c r="C40" s="232">
        <f>SUM(C37:C39)</f>
        <v>967.56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AD57-95EC-4001-880E-EBFB04885B4E}">
  <sheetPr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Westmoreland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1921202.75</v>
      </c>
      <c r="D5" s="20">
        <f>SUM('DOE25'!L189:L192)+SUM('DOE25'!L207:L210)+SUM('DOE25'!L225:L228)-F5-G5</f>
        <v>1916534.12</v>
      </c>
      <c r="E5" s="244"/>
      <c r="F5" s="256">
        <f>SUM('DOE25'!J189:J192)+SUM('DOE25'!J207:J210)+SUM('DOE25'!J225:J228)</f>
        <v>2834.63</v>
      </c>
      <c r="G5" s="53">
        <f>SUM('DOE25'!K189:K192)+SUM('DOE25'!K207:K210)+SUM('DOE25'!K225:K228)</f>
        <v>1834</v>
      </c>
      <c r="H5" s="260"/>
    </row>
    <row r="6" spans="1:9" x14ac:dyDescent="0.2">
      <c r="A6" s="32">
        <v>2100</v>
      </c>
      <c r="B6" t="s">
        <v>832</v>
      </c>
      <c r="C6" s="246">
        <f t="shared" si="0"/>
        <v>122918.7</v>
      </c>
      <c r="D6" s="20">
        <f>'DOE25'!L194+'DOE25'!L212+'DOE25'!L230-F6-G6</f>
        <v>122918.7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61598.880000000005</v>
      </c>
      <c r="D7" s="20">
        <f>'DOE25'!L195+'DOE25'!L213+'DOE25'!L231-F7-G7</f>
        <v>61598.880000000005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123742.72999999998</v>
      </c>
      <c r="D8" s="244"/>
      <c r="E8" s="20">
        <f>'DOE25'!L196+'DOE25'!L214+'DOE25'!L232-F8-G8-D9-D11</f>
        <v>123742.72999999998</v>
      </c>
      <c r="F8" s="256">
        <f>'DOE25'!J196+'DOE25'!J214+'DOE25'!J232</f>
        <v>0</v>
      </c>
      <c r="G8" s="53">
        <f>'DOE25'!K196+'DOE25'!K214+'DOE25'!K232</f>
        <v>0</v>
      </c>
      <c r="H8" s="260"/>
    </row>
    <row r="9" spans="1:9" x14ac:dyDescent="0.2">
      <c r="A9" s="32">
        <v>2310</v>
      </c>
      <c r="B9" t="s">
        <v>849</v>
      </c>
      <c r="C9" s="246">
        <f t="shared" si="0"/>
        <v>1842.88</v>
      </c>
      <c r="D9" s="245">
        <v>1842.88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6300</v>
      </c>
      <c r="D10" s="244"/>
      <c r="E10" s="245">
        <v>6300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46043</v>
      </c>
      <c r="D11" s="245">
        <v>46043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136501.46999999997</v>
      </c>
      <c r="D12" s="20">
        <f>'DOE25'!L197+'DOE25'!L215+'DOE25'!L233-F12-G12</f>
        <v>136310.06999999998</v>
      </c>
      <c r="E12" s="244"/>
      <c r="F12" s="256">
        <f>'DOE25'!J197+'DOE25'!J215+'DOE25'!J233</f>
        <v>102.4</v>
      </c>
      <c r="G12" s="53">
        <f>'DOE25'!K197+'DOE25'!K215+'DOE25'!K233</f>
        <v>89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217798.07</v>
      </c>
      <c r="D14" s="20">
        <f>'DOE25'!L199+'DOE25'!L217+'DOE25'!L235-F14-G14</f>
        <v>217798.07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204375.77999999997</v>
      </c>
      <c r="D15" s="20">
        <f>'DOE25'!L200+'DOE25'!L218+'DOE25'!L236-F15-G15</f>
        <v>204375.77999999997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1901</v>
      </c>
      <c r="D16" s="244"/>
      <c r="E16" s="20">
        <f>'DOE25'!L201+'DOE25'!L219+'DOE25'!L237-F16-G16</f>
        <v>1901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63401.64</v>
      </c>
      <c r="D25" s="244"/>
      <c r="E25" s="244"/>
      <c r="F25" s="259"/>
      <c r="G25" s="257"/>
      <c r="H25" s="258">
        <f>'DOE25'!L252+'DOE25'!L253+'DOE25'!L333+'DOE25'!L334</f>
        <v>63401.64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60677.08</v>
      </c>
      <c r="D29" s="20">
        <f>'DOE25'!L350+'DOE25'!L351+'DOE25'!L352-'DOE25'!I359-F29-G29</f>
        <v>60209.69</v>
      </c>
      <c r="E29" s="244"/>
      <c r="F29" s="256">
        <f>'DOE25'!J350+'DOE25'!J351+'DOE25'!J352</f>
        <v>176.89</v>
      </c>
      <c r="G29" s="53">
        <f>'DOE25'!K350+'DOE25'!K351+'DOE25'!K352</f>
        <v>290.5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88886.91</v>
      </c>
      <c r="D31" s="20">
        <f>'DOE25'!L282+'DOE25'!L301+'DOE25'!L320+'DOE25'!L325+'DOE25'!L326+'DOE25'!L327-F31-G31</f>
        <v>78136.75</v>
      </c>
      <c r="E31" s="244"/>
      <c r="F31" s="256">
        <f>'DOE25'!J282+'DOE25'!J301+'DOE25'!J320+'DOE25'!J325+'DOE25'!J326+'DOE25'!J327</f>
        <v>7369.3499999999995</v>
      </c>
      <c r="G31" s="53">
        <f>'DOE25'!K282+'DOE25'!K301+'DOE25'!K320+'DOE25'!K325+'DOE25'!K326+'DOE25'!K327</f>
        <v>3380.81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2845767.9399999995</v>
      </c>
      <c r="E33" s="247">
        <f>SUM(E5:E31)</f>
        <v>131943.72999999998</v>
      </c>
      <c r="F33" s="247">
        <f>SUM(F5:F31)</f>
        <v>10483.27</v>
      </c>
      <c r="G33" s="247">
        <f>SUM(G5:G31)</f>
        <v>5594.3099999999995</v>
      </c>
      <c r="H33" s="247">
        <f>SUM(H5:H31)</f>
        <v>63401.64</v>
      </c>
    </row>
    <row r="35" spans="2:8" ht="12" thickBot="1" x14ac:dyDescent="0.25">
      <c r="B35" s="254" t="s">
        <v>878</v>
      </c>
      <c r="D35" s="255">
        <f>E33</f>
        <v>131943.72999999998</v>
      </c>
      <c r="E35" s="250"/>
    </row>
    <row r="36" spans="2:8" ht="12" thickTop="1" x14ac:dyDescent="0.2">
      <c r="B36" t="s">
        <v>846</v>
      </c>
      <c r="D36" s="20">
        <f>D33</f>
        <v>2845767.9399999995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A5379-3004-4382-87D1-6D935A58B541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Westmoreland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-11387.02</v>
      </c>
      <c r="D9" s="95">
        <f>'DOE25'!G9</f>
        <v>1021.7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3312.76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142684.16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66974.7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6871.44</v>
      </c>
      <c r="D13" s="95">
        <f>'DOE25'!G13</f>
        <v>0</v>
      </c>
      <c r="E13" s="95">
        <f>'DOE25'!H13</f>
        <v>75269.2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626.76</v>
      </c>
      <c r="D14" s="95">
        <f>'DOE25'!G14</f>
        <v>416.6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615.71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67014.349999999991</v>
      </c>
      <c r="D19" s="41">
        <f>SUM(D9:D18)</f>
        <v>1438.3000000000002</v>
      </c>
      <c r="E19" s="41">
        <f>SUM(E9:E18)</f>
        <v>75269.2</v>
      </c>
      <c r="F19" s="41">
        <f>SUM(F9:F18)</f>
        <v>0</v>
      </c>
      <c r="G19" s="41">
        <f>SUM(G9:G18)</f>
        <v>142684.16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66974.7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1209.22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28683.02</v>
      </c>
      <c r="D24" s="95">
        <f>'DOE25'!G25</f>
        <v>0</v>
      </c>
      <c r="E24" s="95">
        <f>'DOE25'!H25</f>
        <v>8125.4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5387.89</v>
      </c>
      <c r="D28" s="95">
        <f>'DOE25'!G29</f>
        <v>696.44</v>
      </c>
      <c r="E28" s="95">
        <f>'DOE25'!H29</f>
        <v>169.1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741.86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35280.130000000005</v>
      </c>
      <c r="D32" s="41">
        <f>SUM(D22:D31)</f>
        <v>1438.3000000000002</v>
      </c>
      <c r="E32" s="41">
        <f>SUM(E22:E31)</f>
        <v>75269.2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5981.1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25753.119999999999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142684.16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0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31734.22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142684.16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67014.350000000006</v>
      </c>
      <c r="D43" s="41">
        <f>D42+D32</f>
        <v>1438.3000000000002</v>
      </c>
      <c r="E43" s="41">
        <f>E42+E32</f>
        <v>75269.2</v>
      </c>
      <c r="F43" s="41">
        <f>F42+F32</f>
        <v>0</v>
      </c>
      <c r="G43" s="41">
        <f>G42+G32</f>
        <v>142684.16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1796198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1399.99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1067.43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238.73999999999998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44302.729999999996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23554.969999999998</v>
      </c>
      <c r="D53" s="95">
        <f>SUM('DOE25'!G90:G102)</f>
        <v>24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26022.39</v>
      </c>
      <c r="D54" s="130">
        <f>SUM(D49:D53)</f>
        <v>44326.729999999996</v>
      </c>
      <c r="E54" s="130">
        <f>SUM(E49:E53)</f>
        <v>0</v>
      </c>
      <c r="F54" s="130">
        <f>SUM(F49:F53)</f>
        <v>0</v>
      </c>
      <c r="G54" s="130">
        <f>SUM(G49:G53)</f>
        <v>238.73999999999998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1822220.39</v>
      </c>
      <c r="D55" s="22">
        <f>D48+D54</f>
        <v>44326.729999999996</v>
      </c>
      <c r="E55" s="22">
        <f>E48+E54</f>
        <v>0</v>
      </c>
      <c r="F55" s="22">
        <f>F48+F54</f>
        <v>0</v>
      </c>
      <c r="G55" s="22">
        <f>G48+G54</f>
        <v>238.73999999999998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592895.84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438013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21504.16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1052413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14258.83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28153.26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816.82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42412.09</v>
      </c>
      <c r="D70" s="130">
        <f>SUM(D64:D69)</f>
        <v>816.82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1094825.0900000001</v>
      </c>
      <c r="D73" s="130">
        <f>SUM(D71:D72)+D70+D62</f>
        <v>816.82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7640.15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34097.57</v>
      </c>
      <c r="D80" s="95">
        <f>SUM('DOE25'!G145:G153)</f>
        <v>21479.360000000001</v>
      </c>
      <c r="E80" s="95">
        <f>SUM('DOE25'!H145:H153)</f>
        <v>81246.760000000009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34097.57</v>
      </c>
      <c r="D83" s="131">
        <f>SUM(D77:D82)</f>
        <v>21479.360000000001</v>
      </c>
      <c r="E83" s="131">
        <f>SUM(E77:E82)</f>
        <v>88886.91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215000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43404.98</v>
      </c>
      <c r="E88" s="95">
        <f>'DOE25'!H171</f>
        <v>0</v>
      </c>
      <c r="F88" s="95">
        <f>'DOE25'!I171</f>
        <v>0</v>
      </c>
      <c r="G88" s="95">
        <f>'DOE25'!J171</f>
        <v>9183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615.63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35000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615.63</v>
      </c>
      <c r="D95" s="86">
        <f>SUM(D85:D94)</f>
        <v>43404.98</v>
      </c>
      <c r="E95" s="86">
        <f>SUM(E85:E94)</f>
        <v>0</v>
      </c>
      <c r="F95" s="86">
        <f>SUM(F85:F94)</f>
        <v>250000</v>
      </c>
      <c r="G95" s="86">
        <f>SUM(G85:G94)</f>
        <v>9183</v>
      </c>
    </row>
    <row r="96" spans="1:7" ht="12.75" thickTop="1" thickBot="1" x14ac:dyDescent="0.25">
      <c r="A96" s="33" t="s">
        <v>796</v>
      </c>
      <c r="C96" s="86">
        <f>C55+C73+C83+C95</f>
        <v>2951758.6799999997</v>
      </c>
      <c r="D96" s="86">
        <f>D55+D73+D83+D95</f>
        <v>110027.89000000001</v>
      </c>
      <c r="E96" s="86">
        <f>E55+E73+E83+E95</f>
        <v>88886.91</v>
      </c>
      <c r="F96" s="86">
        <f>F55+F73+F83+F95</f>
        <v>250000</v>
      </c>
      <c r="G96" s="86">
        <f>G55+G73+G95</f>
        <v>9421.74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1411647.23</v>
      </c>
      <c r="D101" s="24" t="s">
        <v>312</v>
      </c>
      <c r="E101" s="95">
        <f>('DOE25'!L268)+('DOE25'!L287)+('DOE25'!L306)</f>
        <v>29202.07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494324.76</v>
      </c>
      <c r="D102" s="24" t="s">
        <v>312</v>
      </c>
      <c r="E102" s="95">
        <f>('DOE25'!L269)+('DOE25'!L288)+('DOE25'!L307)</f>
        <v>27391.07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15230.76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1921202.75</v>
      </c>
      <c r="D107" s="86">
        <f>SUM(D101:D106)</f>
        <v>0</v>
      </c>
      <c r="E107" s="86">
        <f>SUM(E101:E106)</f>
        <v>56593.14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122918.7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61598.880000000005</v>
      </c>
      <c r="D111" s="24" t="s">
        <v>312</v>
      </c>
      <c r="E111" s="95">
        <f>+('DOE25'!L274)+('DOE25'!L293)+('DOE25'!L312)</f>
        <v>27292.960000000003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171628.61</v>
      </c>
      <c r="D112" s="24" t="s">
        <v>312</v>
      </c>
      <c r="E112" s="95">
        <f>+('DOE25'!L275)+('DOE25'!L294)+('DOE25'!L313)</f>
        <v>1620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136501.46999999997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3380.81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217798.07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204375.77999999997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1901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110027.89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916722.51</v>
      </c>
      <c r="D120" s="86">
        <f>SUM(D110:D119)</f>
        <v>110027.89</v>
      </c>
      <c r="E120" s="86">
        <f>SUM(E110:E119)</f>
        <v>32293.770000000004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220791.89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45000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18401.64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615.63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43404.98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9235.07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186.67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-238.73999999999978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115989.62</v>
      </c>
      <c r="D136" s="141">
        <f>SUM(D122:D135)</f>
        <v>0</v>
      </c>
      <c r="E136" s="141">
        <f>SUM(E122:E135)</f>
        <v>0</v>
      </c>
      <c r="F136" s="141">
        <f>SUM(F122:F135)</f>
        <v>221407.52000000002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2953914.88</v>
      </c>
      <c r="D137" s="86">
        <f>(D107+D120+D136)</f>
        <v>110027.89</v>
      </c>
      <c r="E137" s="86">
        <f>(E107+E120+E136)</f>
        <v>88886.91</v>
      </c>
      <c r="F137" s="86">
        <f>(F107+F120+F136)</f>
        <v>221407.52000000002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5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08/07</v>
      </c>
      <c r="C144" s="152" t="str">
        <f>'DOE25'!G481</f>
        <v>8/10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08/17</v>
      </c>
      <c r="C145" s="152" t="str">
        <f>'DOE25'!G482</f>
        <v>8/15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440000</v>
      </c>
      <c r="C146" s="137">
        <f>'DOE25'!G483</f>
        <v>215000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4.28</v>
      </c>
      <c r="C147" s="137">
        <f>'DOE25'!G484</f>
        <v>1.99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345000</v>
      </c>
      <c r="C148" s="137">
        <f>'DOE25'!G485</f>
        <v>207000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552000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45000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45000</v>
      </c>
    </row>
    <row r="151" spans="1:7" x14ac:dyDescent="0.2">
      <c r="A151" s="22" t="s">
        <v>35</v>
      </c>
      <c r="B151" s="137">
        <f>'DOE25'!F488</f>
        <v>300000</v>
      </c>
      <c r="C151" s="137">
        <f>'DOE25'!G488</f>
        <v>207000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507000</v>
      </c>
    </row>
    <row r="152" spans="1:7" x14ac:dyDescent="0.2">
      <c r="A152" s="22" t="s">
        <v>36</v>
      </c>
      <c r="B152" s="137">
        <f>'DOE25'!F489</f>
        <v>48243.75</v>
      </c>
      <c r="C152" s="137">
        <f>'DOE25'!G489</f>
        <v>16865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65108.75</v>
      </c>
    </row>
    <row r="153" spans="1:7" x14ac:dyDescent="0.2">
      <c r="A153" s="22" t="s">
        <v>37</v>
      </c>
      <c r="B153" s="137">
        <f>'DOE25'!F490</f>
        <v>348243.75</v>
      </c>
      <c r="C153" s="137">
        <f>'DOE25'!G490</f>
        <v>223865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572108.75</v>
      </c>
    </row>
    <row r="154" spans="1:7" x14ac:dyDescent="0.2">
      <c r="A154" s="22" t="s">
        <v>38</v>
      </c>
      <c r="B154" s="137">
        <f>'DOE25'!F491</f>
        <v>45000</v>
      </c>
      <c r="C154" s="137">
        <f>'DOE25'!G491</f>
        <v>42000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87000</v>
      </c>
    </row>
    <row r="155" spans="1:7" x14ac:dyDescent="0.2">
      <c r="A155" s="22" t="s">
        <v>39</v>
      </c>
      <c r="B155" s="137">
        <f>'DOE25'!F492</f>
        <v>12637.5</v>
      </c>
      <c r="C155" s="137">
        <f>'DOE25'!G492</f>
        <v>6190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18827.5</v>
      </c>
    </row>
    <row r="156" spans="1:7" x14ac:dyDescent="0.2">
      <c r="A156" s="22" t="s">
        <v>269</v>
      </c>
      <c r="B156" s="137">
        <f>'DOE25'!F493</f>
        <v>57637.5</v>
      </c>
      <c r="C156" s="137">
        <f>'DOE25'!G493</f>
        <v>48190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105827.5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348D5-F09C-48CE-A4CB-4D5E64D6C79E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Westmoreland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12111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12111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1440849</v>
      </c>
      <c r="D10" s="182">
        <f>ROUND((C10/$C$28)*100,1)</f>
        <v>47.9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521716</v>
      </c>
      <c r="D11" s="182">
        <f>ROUND((C11/$C$28)*100,1)</f>
        <v>17.3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15231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122919</v>
      </c>
      <c r="D15" s="182">
        <f t="shared" ref="D15:D27" si="0">ROUND((C15/$C$28)*100,1)</f>
        <v>4.0999999999999996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88892</v>
      </c>
      <c r="D16" s="182">
        <f t="shared" si="0"/>
        <v>3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175150</v>
      </c>
      <c r="D17" s="182">
        <f t="shared" si="0"/>
        <v>5.8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136501</v>
      </c>
      <c r="D18" s="182">
        <f t="shared" si="0"/>
        <v>4.5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3381</v>
      </c>
      <c r="D19" s="182">
        <f t="shared" si="0"/>
        <v>0.1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217798</v>
      </c>
      <c r="D20" s="182">
        <f t="shared" si="0"/>
        <v>7.2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204376</v>
      </c>
      <c r="D21" s="182">
        <f t="shared" si="0"/>
        <v>6.8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18402</v>
      </c>
      <c r="D25" s="182">
        <f t="shared" si="0"/>
        <v>0.6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65701.27</v>
      </c>
      <c r="D27" s="182">
        <f t="shared" si="0"/>
        <v>2.2000000000000002</v>
      </c>
    </row>
    <row r="28" spans="1:4" x14ac:dyDescent="0.2">
      <c r="B28" s="187" t="s">
        <v>754</v>
      </c>
      <c r="C28" s="180">
        <f>SUM(C10:C27)</f>
        <v>3010916.27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220792</v>
      </c>
    </row>
    <row r="30" spans="1:4" x14ac:dyDescent="0.2">
      <c r="B30" s="187" t="s">
        <v>760</v>
      </c>
      <c r="C30" s="180">
        <f>SUM(C28:C29)</f>
        <v>3231708.27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45000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1796198</v>
      </c>
      <c r="D35" s="182">
        <f t="shared" ref="D35:D40" si="1">ROUND((C35/$C$41)*100,1)</f>
        <v>58.7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26261.129999999888</v>
      </c>
      <c r="D36" s="182">
        <f t="shared" si="1"/>
        <v>0.9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1052413</v>
      </c>
      <c r="D37" s="182">
        <f t="shared" si="1"/>
        <v>34.4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43229</v>
      </c>
      <c r="D38" s="182">
        <f t="shared" si="1"/>
        <v>1.4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144464</v>
      </c>
      <c r="D39" s="182">
        <f t="shared" si="1"/>
        <v>4.7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3062565.13</v>
      </c>
      <c r="D41" s="184">
        <f>SUM(D35:D40)</f>
        <v>100.10000000000001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215000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179F7-80A9-43AB-81DD-5E241D2B1F92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Westmoreland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2011-10-26T12:38:13Z</cp:lastPrinted>
  <dcterms:created xsi:type="dcterms:W3CDTF">1997-12-04T19:04:30Z</dcterms:created>
  <dcterms:modified xsi:type="dcterms:W3CDTF">2025-01-16T15:39:18Z</dcterms:modified>
</cp:coreProperties>
</file>