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70AE2CF-0658-4E58-8C0F-15DBD04508C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17EA6EE1-AE04-464C-BDB3-C3AA26D35BF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8" i="1" l="1"/>
  <c r="I488" i="1"/>
  <c r="H488" i="1"/>
  <c r="G488" i="1"/>
  <c r="F488" i="1"/>
  <c r="G128" i="1"/>
  <c r="G113" i="1"/>
  <c r="G132" i="1"/>
  <c r="F113" i="1"/>
  <c r="F128" i="1"/>
  <c r="F132" i="1"/>
  <c r="H128" i="1"/>
  <c r="H113" i="1"/>
  <c r="H132" i="1"/>
  <c r="I113" i="1"/>
  <c r="I128" i="1"/>
  <c r="I132" i="1"/>
  <c r="J113" i="1"/>
  <c r="J128" i="1"/>
  <c r="J132" i="1"/>
  <c r="C38" i="10"/>
  <c r="C37" i="10"/>
  <c r="C60" i="2"/>
  <c r="B2" i="13"/>
  <c r="F8" i="13"/>
  <c r="G8" i="13"/>
  <c r="L196" i="1"/>
  <c r="L214" i="1"/>
  <c r="L232" i="1"/>
  <c r="E8" i="13"/>
  <c r="D39" i="13"/>
  <c r="F13" i="13"/>
  <c r="G13" i="13"/>
  <c r="L198" i="1"/>
  <c r="L216" i="1"/>
  <c r="L234" i="1"/>
  <c r="E13" i="13"/>
  <c r="F16" i="13"/>
  <c r="G16" i="13"/>
  <c r="L201" i="1"/>
  <c r="L219" i="1"/>
  <c r="L237" i="1"/>
  <c r="E16" i="13"/>
  <c r="E33" i="13"/>
  <c r="D35" i="13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D5" i="13"/>
  <c r="F6" i="13"/>
  <c r="G6" i="13"/>
  <c r="L194" i="1"/>
  <c r="L212" i="1"/>
  <c r="L230" i="1"/>
  <c r="D6" i="13"/>
  <c r="F7" i="13"/>
  <c r="G7" i="13"/>
  <c r="L195" i="1"/>
  <c r="L213" i="1"/>
  <c r="L231" i="1"/>
  <c r="D7" i="13"/>
  <c r="F12" i="13"/>
  <c r="G12" i="13"/>
  <c r="L197" i="1"/>
  <c r="L215" i="1"/>
  <c r="L233" i="1"/>
  <c r="D12" i="13"/>
  <c r="F14" i="13"/>
  <c r="G14" i="13"/>
  <c r="L199" i="1"/>
  <c r="L217" i="1"/>
  <c r="L235" i="1"/>
  <c r="D14" i="13"/>
  <c r="F15" i="13"/>
  <c r="G15" i="13"/>
  <c r="L200" i="1"/>
  <c r="L218" i="1"/>
  <c r="L236" i="1"/>
  <c r="D15" i="13"/>
  <c r="F17" i="13"/>
  <c r="G17" i="13"/>
  <c r="L243" i="1"/>
  <c r="D17" i="13"/>
  <c r="F18" i="13"/>
  <c r="G18" i="13"/>
  <c r="L244" i="1"/>
  <c r="D18" i="13"/>
  <c r="F19" i="13"/>
  <c r="G19" i="13"/>
  <c r="L245" i="1"/>
  <c r="D19" i="13"/>
  <c r="F29" i="13"/>
  <c r="G29" i="13"/>
  <c r="L350" i="1"/>
  <c r="L351" i="1"/>
  <c r="L352" i="1"/>
  <c r="I359" i="1"/>
  <c r="D29" i="13"/>
  <c r="J282" i="1"/>
  <c r="J301" i="1"/>
  <c r="J320" i="1"/>
  <c r="F31" i="13"/>
  <c r="K282" i="1"/>
  <c r="K301" i="1"/>
  <c r="K320" i="1"/>
  <c r="G31" i="13"/>
  <c r="L268" i="1"/>
  <c r="L269" i="1"/>
  <c r="L270" i="1"/>
  <c r="L271" i="1"/>
  <c r="L273" i="1"/>
  <c r="L274" i="1"/>
  <c r="L275" i="1"/>
  <c r="L276" i="1"/>
  <c r="L277" i="1"/>
  <c r="L278" i="1"/>
  <c r="L279" i="1"/>
  <c r="L280" i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1" i="1"/>
  <c r="L306" i="1"/>
  <c r="L307" i="1"/>
  <c r="L308" i="1"/>
  <c r="L309" i="1"/>
  <c r="L311" i="1"/>
  <c r="L312" i="1"/>
  <c r="L313" i="1"/>
  <c r="L314" i="1"/>
  <c r="L315" i="1"/>
  <c r="L316" i="1"/>
  <c r="L317" i="1"/>
  <c r="L318" i="1"/>
  <c r="L320" i="1"/>
  <c r="L325" i="1"/>
  <c r="L326" i="1"/>
  <c r="L327" i="1"/>
  <c r="D31" i="13"/>
  <c r="D33" i="13"/>
  <c r="D36" i="13"/>
  <c r="G33" i="13"/>
  <c r="L252" i="1"/>
  <c r="L253" i="1"/>
  <c r="L333" i="1"/>
  <c r="L334" i="1"/>
  <c r="H25" i="13"/>
  <c r="H33" i="13"/>
  <c r="L247" i="1"/>
  <c r="L328" i="1"/>
  <c r="F22" i="13"/>
  <c r="F33" i="13"/>
  <c r="C31" i="13"/>
  <c r="C29" i="13"/>
  <c r="C25" i="13"/>
  <c r="C22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L353" i="1"/>
  <c r="L354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9" i="12"/>
  <c r="C13" i="12"/>
  <c r="A13" i="12"/>
  <c r="B18" i="12"/>
  <c r="B22" i="12"/>
  <c r="C18" i="12"/>
  <c r="C22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C133" i="2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G52" i="1"/>
  <c r="H52" i="1"/>
  <c r="I52" i="1"/>
  <c r="C35" i="10"/>
  <c r="F71" i="1"/>
  <c r="F86" i="1"/>
  <c r="F103" i="1"/>
  <c r="F104" i="1"/>
  <c r="G103" i="1"/>
  <c r="G104" i="1"/>
  <c r="H71" i="1"/>
  <c r="H86" i="1"/>
  <c r="H103" i="1"/>
  <c r="H104" i="1"/>
  <c r="I103" i="1"/>
  <c r="I104" i="1"/>
  <c r="J103" i="1"/>
  <c r="J104" i="1"/>
  <c r="C36" i="10"/>
  <c r="F139" i="1"/>
  <c r="F154" i="1"/>
  <c r="F161" i="1"/>
  <c r="G139" i="1"/>
  <c r="G154" i="1"/>
  <c r="G161" i="1"/>
  <c r="H139" i="1"/>
  <c r="H154" i="1"/>
  <c r="H161" i="1"/>
  <c r="I139" i="1"/>
  <c r="I154" i="1"/>
  <c r="I161" i="1"/>
  <c r="C39" i="10"/>
  <c r="C41" i="10"/>
  <c r="D40" i="10"/>
  <c r="D39" i="10"/>
  <c r="D38" i="10"/>
  <c r="D37" i="10"/>
  <c r="D36" i="10"/>
  <c r="D35" i="10"/>
  <c r="C27" i="10"/>
  <c r="C10" i="10"/>
  <c r="C11" i="10"/>
  <c r="C12" i="10"/>
  <c r="C13" i="10"/>
  <c r="C15" i="10"/>
  <c r="C16" i="10"/>
  <c r="C17" i="10"/>
  <c r="C18" i="10"/>
  <c r="C19" i="10"/>
  <c r="C20" i="10"/>
  <c r="C21" i="10"/>
  <c r="L242" i="1"/>
  <c r="L324" i="1"/>
  <c r="C23" i="10"/>
  <c r="L246" i="1"/>
  <c r="C24" i="10"/>
  <c r="C25" i="10"/>
  <c r="L260" i="1"/>
  <c r="L261" i="1"/>
  <c r="L341" i="1"/>
  <c r="L342" i="1"/>
  <c r="C26" i="10"/>
  <c r="C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3" i="10"/>
  <c r="D12" i="10"/>
  <c r="D11" i="10"/>
  <c r="D10" i="10"/>
  <c r="I655" i="1"/>
  <c r="I660" i="1"/>
  <c r="L203" i="1"/>
  <c r="F650" i="1"/>
  <c r="L221" i="1"/>
  <c r="G650" i="1"/>
  <c r="L239" i="1"/>
  <c r="H650" i="1"/>
  <c r="I650" i="1"/>
  <c r="F651" i="1"/>
  <c r="G651" i="1"/>
  <c r="H651" i="1"/>
  <c r="I651" i="1"/>
  <c r="F652" i="1"/>
  <c r="G652" i="1"/>
  <c r="H652" i="1"/>
  <c r="I652" i="1"/>
  <c r="I653" i="1"/>
  <c r="I654" i="1"/>
  <c r="I659" i="1"/>
  <c r="I662" i="1"/>
  <c r="C7" i="10"/>
  <c r="H654" i="1"/>
  <c r="H662" i="1"/>
  <c r="C6" i="10"/>
  <c r="G654" i="1"/>
  <c r="G662" i="1"/>
  <c r="C5" i="10"/>
  <c r="F654" i="1"/>
  <c r="F662" i="1"/>
  <c r="C4" i="10"/>
  <c r="D28" i="10"/>
  <c r="D41" i="10"/>
  <c r="C42" i="10"/>
  <c r="C32" i="10"/>
  <c r="L366" i="1"/>
  <c r="L367" i="1"/>
  <c r="L368" i="1"/>
  <c r="L369" i="1"/>
  <c r="L370" i="1"/>
  <c r="L371" i="1"/>
  <c r="L372" i="1"/>
  <c r="C29" i="10"/>
  <c r="C30" i="10"/>
  <c r="B2" i="10"/>
  <c r="L336" i="1"/>
  <c r="L337" i="1"/>
  <c r="L338" i="1"/>
  <c r="L339" i="1"/>
  <c r="L343" i="1"/>
  <c r="I657" i="1"/>
  <c r="H657" i="1"/>
  <c r="G657" i="1"/>
  <c r="F657" i="1"/>
  <c r="K343" i="1"/>
  <c r="L511" i="1"/>
  <c r="F539" i="1"/>
  <c r="L512" i="1"/>
  <c r="F540" i="1"/>
  <c r="L513" i="1"/>
  <c r="F541" i="1"/>
  <c r="F542" i="1"/>
  <c r="L516" i="1"/>
  <c r="G539" i="1"/>
  <c r="L517" i="1"/>
  <c r="G540" i="1"/>
  <c r="L518" i="1"/>
  <c r="G541" i="1"/>
  <c r="G542" i="1"/>
  <c r="L521" i="1"/>
  <c r="H539" i="1"/>
  <c r="L522" i="1"/>
  <c r="H540" i="1"/>
  <c r="L523" i="1"/>
  <c r="H541" i="1"/>
  <c r="H542" i="1"/>
  <c r="L526" i="1"/>
  <c r="I539" i="1"/>
  <c r="L527" i="1"/>
  <c r="I540" i="1"/>
  <c r="L528" i="1"/>
  <c r="I541" i="1"/>
  <c r="I542" i="1"/>
  <c r="L531" i="1"/>
  <c r="J539" i="1"/>
  <c r="L532" i="1"/>
  <c r="J540" i="1"/>
  <c r="L533" i="1"/>
  <c r="J541" i="1"/>
  <c r="J542" i="1"/>
  <c r="K539" i="1"/>
  <c r="K540" i="1"/>
  <c r="K541" i="1"/>
  <c r="K542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D19" i="2"/>
  <c r="E19" i="2"/>
  <c r="F19" i="2"/>
  <c r="G19" i="2"/>
  <c r="C22" i="2"/>
  <c r="D22" i="2"/>
  <c r="E22" i="2"/>
  <c r="F22" i="2"/>
  <c r="I440" i="1"/>
  <c r="J23" i="1"/>
  <c r="G22" i="2"/>
  <c r="C23" i="2"/>
  <c r="D23" i="2"/>
  <c r="E23" i="2"/>
  <c r="F23" i="2"/>
  <c r="I441" i="1"/>
  <c r="J24" i="1"/>
  <c r="G23" i="2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2" i="2"/>
  <c r="D32" i="2"/>
  <c r="E32" i="2"/>
  <c r="F32" i="2"/>
  <c r="G32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C42" i="2"/>
  <c r="D42" i="2"/>
  <c r="E42" i="2"/>
  <c r="F42" i="2"/>
  <c r="G42" i="2"/>
  <c r="C43" i="2"/>
  <c r="D43" i="2"/>
  <c r="E43" i="2"/>
  <c r="F43" i="2"/>
  <c r="G43" i="2"/>
  <c r="C48" i="2"/>
  <c r="D48" i="2"/>
  <c r="E48" i="2"/>
  <c r="F48" i="2"/>
  <c r="C49" i="2"/>
  <c r="E49" i="2"/>
  <c r="C50" i="2"/>
  <c r="E50" i="2"/>
  <c r="C51" i="2"/>
  <c r="D51" i="2"/>
  <c r="E51" i="2"/>
  <c r="F51" i="2"/>
  <c r="D52" i="2"/>
  <c r="C53" i="2"/>
  <c r="D53" i="2"/>
  <c r="E53" i="2"/>
  <c r="F53" i="2"/>
  <c r="C54" i="2"/>
  <c r="D54" i="2"/>
  <c r="E54" i="2"/>
  <c r="F54" i="2"/>
  <c r="C55" i="2"/>
  <c r="D55" i="2"/>
  <c r="E55" i="2"/>
  <c r="F55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F64" i="2"/>
  <c r="C65" i="2"/>
  <c r="F65" i="2"/>
  <c r="C66" i="2"/>
  <c r="C67" i="2"/>
  <c r="C68" i="2"/>
  <c r="E68" i="2"/>
  <c r="F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C72" i="2"/>
  <c r="E72" i="2"/>
  <c r="C73" i="2"/>
  <c r="D73" i="2"/>
  <c r="E73" i="2"/>
  <c r="F73" i="2"/>
  <c r="G73" i="2"/>
  <c r="C77" i="2"/>
  <c r="D77" i="2"/>
  <c r="E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E83" i="2"/>
  <c r="F83" i="2"/>
  <c r="C85" i="2"/>
  <c r="F85" i="2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G95" i="2"/>
  <c r="C96" i="2"/>
  <c r="D96" i="2"/>
  <c r="E96" i="2"/>
  <c r="F96" i="2"/>
  <c r="G96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D107" i="2"/>
  <c r="E107" i="2"/>
  <c r="F107" i="2"/>
  <c r="G107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D119" i="2"/>
  <c r="C120" i="2"/>
  <c r="D120" i="2"/>
  <c r="E120" i="2"/>
  <c r="F120" i="2"/>
  <c r="G120" i="2"/>
  <c r="C122" i="2"/>
  <c r="E122" i="2"/>
  <c r="F122" i="2"/>
  <c r="D126" i="2"/>
  <c r="E126" i="2"/>
  <c r="F126" i="2"/>
  <c r="K411" i="1"/>
  <c r="K419" i="1"/>
  <c r="K425" i="1"/>
  <c r="K426" i="1"/>
  <c r="G126" i="2"/>
  <c r="L255" i="1"/>
  <c r="C127" i="2"/>
  <c r="E127" i="2"/>
  <c r="L256" i="1"/>
  <c r="C128" i="2"/>
  <c r="L257" i="1"/>
  <c r="C129" i="2"/>
  <c r="E129" i="2"/>
  <c r="C134" i="2"/>
  <c r="E134" i="2"/>
  <c r="C135" i="2"/>
  <c r="E135" i="2"/>
  <c r="C136" i="2"/>
  <c r="D136" i="2"/>
  <c r="E136" i="2"/>
  <c r="F136" i="2"/>
  <c r="G136" i="2"/>
  <c r="C137" i="2"/>
  <c r="D137" i="2"/>
  <c r="E137" i="2"/>
  <c r="F137" i="2"/>
  <c r="G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19" i="1"/>
  <c r="H19" i="1"/>
  <c r="I19" i="1"/>
  <c r="J19" i="1"/>
  <c r="F33" i="1"/>
  <c r="G33" i="1"/>
  <c r="H33" i="1"/>
  <c r="I33" i="1"/>
  <c r="J33" i="1"/>
  <c r="F43" i="1"/>
  <c r="G43" i="1"/>
  <c r="H43" i="1"/>
  <c r="I43" i="1"/>
  <c r="J43" i="1"/>
  <c r="F44" i="1"/>
  <c r="G44" i="1"/>
  <c r="H44" i="1"/>
  <c r="I44" i="1"/>
  <c r="J44" i="1"/>
  <c r="F169" i="1"/>
  <c r="I169" i="1"/>
  <c r="F175" i="1"/>
  <c r="G175" i="1"/>
  <c r="H175" i="1"/>
  <c r="I175" i="1"/>
  <c r="J175" i="1"/>
  <c r="F180" i="1"/>
  <c r="G180" i="1"/>
  <c r="H180" i="1"/>
  <c r="I180" i="1"/>
  <c r="F184" i="1"/>
  <c r="G184" i="1"/>
  <c r="H184" i="1"/>
  <c r="I184" i="1"/>
  <c r="J184" i="1"/>
  <c r="F185" i="1"/>
  <c r="G185" i="1"/>
  <c r="H185" i="1"/>
  <c r="I185" i="1"/>
  <c r="J185" i="1"/>
  <c r="F203" i="1"/>
  <c r="G203" i="1"/>
  <c r="H203" i="1"/>
  <c r="I203" i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G249" i="1"/>
  <c r="H249" i="1"/>
  <c r="I249" i="1"/>
  <c r="J249" i="1"/>
  <c r="K249" i="1"/>
  <c r="L249" i="1"/>
  <c r="L262" i="1"/>
  <c r="F263" i="1"/>
  <c r="G263" i="1"/>
  <c r="H263" i="1"/>
  <c r="I263" i="1"/>
  <c r="J263" i="1"/>
  <c r="K263" i="1"/>
  <c r="L263" i="1"/>
  <c r="F282" i="1"/>
  <c r="G282" i="1"/>
  <c r="H282" i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K329" i="1"/>
  <c r="L329" i="1"/>
  <c r="F330" i="1"/>
  <c r="G330" i="1"/>
  <c r="H330" i="1"/>
  <c r="I330" i="1"/>
  <c r="J330" i="1"/>
  <c r="K330" i="1"/>
  <c r="L330" i="1"/>
  <c r="F344" i="1"/>
  <c r="G344" i="1"/>
  <c r="H344" i="1"/>
  <c r="I344" i="1"/>
  <c r="J344" i="1"/>
  <c r="K344" i="1"/>
  <c r="L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L374" i="1"/>
  <c r="F385" i="1"/>
  <c r="G385" i="1"/>
  <c r="H385" i="1"/>
  <c r="I385" i="1"/>
  <c r="F393" i="1"/>
  <c r="G393" i="1"/>
  <c r="H393" i="1"/>
  <c r="I393" i="1"/>
  <c r="F399" i="1"/>
  <c r="G399" i="1"/>
  <c r="H399" i="1"/>
  <c r="I399" i="1"/>
  <c r="F400" i="1"/>
  <c r="G400" i="1"/>
  <c r="H400" i="1"/>
  <c r="I400" i="1"/>
  <c r="L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F426" i="1"/>
  <c r="G426" i="1"/>
  <c r="H426" i="1"/>
  <c r="I426" i="1"/>
  <c r="J426" i="1"/>
  <c r="L426" i="1"/>
  <c r="F438" i="1"/>
  <c r="G438" i="1"/>
  <c r="H438" i="1"/>
  <c r="I438" i="1"/>
  <c r="F444" i="1"/>
  <c r="G444" i="1"/>
  <c r="H444" i="1"/>
  <c r="I444" i="1"/>
  <c r="F450" i="1"/>
  <c r="G450" i="1"/>
  <c r="H450" i="1"/>
  <c r="I450" i="1"/>
  <c r="F451" i="1"/>
  <c r="G451" i="1"/>
  <c r="H451" i="1"/>
  <c r="I451" i="1"/>
  <c r="F460" i="1"/>
  <c r="G460" i="1"/>
  <c r="H460" i="1"/>
  <c r="I460" i="1"/>
  <c r="J460" i="1"/>
  <c r="F464" i="1"/>
  <c r="G464" i="1"/>
  <c r="H464" i="1"/>
  <c r="I464" i="1"/>
  <c r="J464" i="1"/>
  <c r="F466" i="1"/>
  <c r="G466" i="1"/>
  <c r="H466" i="1"/>
  <c r="I466" i="1"/>
  <c r="J466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G514" i="1"/>
  <c r="H514" i="1"/>
  <c r="I514" i="1"/>
  <c r="J514" i="1"/>
  <c r="K514" i="1"/>
  <c r="L514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5" i="1"/>
  <c r="G535" i="1"/>
  <c r="H535" i="1"/>
  <c r="I535" i="1"/>
  <c r="J535" i="1"/>
  <c r="K535" i="1"/>
  <c r="L535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H561" i="1"/>
  <c r="I561" i="1"/>
  <c r="J561" i="1"/>
  <c r="K561" i="1"/>
  <c r="L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88" i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L604" i="1"/>
  <c r="G607" i="1"/>
  <c r="H607" i="1"/>
  <c r="J607" i="1"/>
  <c r="G608" i="1"/>
  <c r="H608" i="1"/>
  <c r="J608" i="1"/>
  <c r="G609" i="1"/>
  <c r="H609" i="1"/>
  <c r="J609" i="1"/>
  <c r="G610" i="1"/>
  <c r="H610" i="1"/>
  <c r="J610" i="1"/>
  <c r="G611" i="1"/>
  <c r="H611" i="1"/>
  <c r="J611" i="1"/>
  <c r="G612" i="1"/>
  <c r="H612" i="1"/>
  <c r="J612" i="1"/>
  <c r="G613" i="1"/>
  <c r="H613" i="1"/>
  <c r="J613" i="1"/>
  <c r="G614" i="1"/>
  <c r="H614" i="1"/>
  <c r="J614" i="1"/>
  <c r="G615" i="1"/>
  <c r="H615" i="1"/>
  <c r="J615" i="1"/>
  <c r="G616" i="1"/>
  <c r="H616" i="1"/>
  <c r="J616" i="1"/>
  <c r="G617" i="1"/>
  <c r="H617" i="1"/>
  <c r="J617" i="1"/>
  <c r="G618" i="1"/>
  <c r="H618" i="1"/>
  <c r="J618" i="1"/>
  <c r="G619" i="1"/>
  <c r="H619" i="1"/>
  <c r="J619" i="1"/>
  <c r="G620" i="1"/>
  <c r="H620" i="1"/>
  <c r="J620" i="1"/>
  <c r="G621" i="1"/>
  <c r="H621" i="1"/>
  <c r="J621" i="1"/>
  <c r="G622" i="1"/>
  <c r="H622" i="1"/>
  <c r="J622" i="1"/>
  <c r="G623" i="1"/>
  <c r="H623" i="1"/>
  <c r="J623" i="1"/>
  <c r="G624" i="1"/>
  <c r="H624" i="1"/>
  <c r="J624" i="1"/>
  <c r="G625" i="1"/>
  <c r="H625" i="1"/>
  <c r="J625" i="1"/>
  <c r="G626" i="1"/>
  <c r="H626" i="1"/>
  <c r="J626" i="1"/>
  <c r="G627" i="1"/>
  <c r="H627" i="1"/>
  <c r="J627" i="1"/>
  <c r="G628" i="1"/>
  <c r="H628" i="1"/>
  <c r="J628" i="1"/>
  <c r="G629" i="1"/>
  <c r="H629" i="1"/>
  <c r="J629" i="1"/>
  <c r="G630" i="1"/>
  <c r="H630" i="1"/>
  <c r="J630" i="1"/>
  <c r="G631" i="1"/>
  <c r="H631" i="1"/>
  <c r="J631" i="1"/>
  <c r="G632" i="1"/>
  <c r="H632" i="1"/>
  <c r="J632" i="1"/>
  <c r="G633" i="1"/>
  <c r="H633" i="1"/>
  <c r="J633" i="1"/>
  <c r="G634" i="1"/>
  <c r="H634" i="1"/>
  <c r="J634" i="1"/>
  <c r="G635" i="1"/>
  <c r="H635" i="1"/>
  <c r="J635" i="1"/>
  <c r="G636" i="1"/>
  <c r="H636" i="1"/>
  <c r="J636" i="1"/>
  <c r="G637" i="1"/>
  <c r="H637" i="1"/>
  <c r="J637" i="1"/>
  <c r="G638" i="1"/>
  <c r="H638" i="1"/>
  <c r="J638" i="1"/>
  <c r="G639" i="1"/>
  <c r="H639" i="1"/>
  <c r="J639" i="1"/>
  <c r="G640" i="1"/>
  <c r="H640" i="1"/>
  <c r="J640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741E2EE-99AF-4888-9315-E0AA204FF2C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937937E-447E-4C86-AAF4-86DBA042FF3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0A0C60F-3462-477F-A03E-D4FAA16CF9D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B847368-AF53-42E4-A16D-E860DCA1E3A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927B32F-A0A6-478B-987C-9D5D190B1DF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FB407C2-1294-450A-B791-AA7B80CFB39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C1B657A-2FA9-404E-8706-300A37853EB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1F2112A-CBDE-49E4-A720-75DF44EF67C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2DF1F61-2DB0-48D3-9840-44341BC271C6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29B1EF1-3542-435B-B70A-8A79284BB4C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1CBD1F1-EBBD-4F70-8087-3A94FE40077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5E53E50-630D-499A-841F-DF4DF2EB48C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<sst xmlns="http://schemas.openxmlformats.org/spreadsheetml/2006/main" count="3879" uniqueCount="909">
  <si>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</si>
  <si>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</si>
  <si>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</si>
  <si>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</si>
  <si>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</si>
  <si>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</si>
  <si>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</si>
  <si>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</si>
  <si>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</si>
  <si>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</si>
  <si>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</si>
  <si>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</si>
  <si>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</si>
  <si>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</si>
  <si>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</si>
  <si>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</si>
  <si>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</si>
  <si>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</si>
  <si>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</si>
  <si>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</si>
  <si>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</si>
  <si>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</si>
  <si>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</si>
  <si>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</si>
  <si>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</si>
  <si>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</si>
  <si>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</si>
  <si>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</si>
  <si>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</si>
  <si>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</si>
  <si>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</si>
  <si>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</si>
  <si>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</si>
  <si>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</si>
  <si>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</si>
  <si>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</si>
  <si>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</si>
  <si>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</si>
  <si>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</si>
  <si>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</si>
  <si>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</si>
  <si>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</si>
  <si>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</si>
  <si>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</si>
  <si>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</si>
  <si>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</si>
  <si>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</si>
  <si>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</si>
  <si>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</si>
  <si>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</si>
  <si>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</si>
  <si>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</si>
  <si>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</si>
  <si>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</si>
  <si>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</si>
  <si>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</si>
  <si>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</si>
  <si>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</si>
  <si>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</si>
  <si>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</si>
  <si>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</si>
  <si>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</si>
  <si>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</si>
  <si>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</si>
  <si>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</si>
  <si>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</si>
  <si>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</si>
  <si>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</si>
  <si>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</si>
  <si>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</si>
  <si>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</si>
  <si>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</si>
  <si>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</si>
  <si>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</si>
  <si>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</si>
  <si>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</si>
  <si>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</si>
  <si>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</si>
  <si>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</si>
  <si>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</si>
  <si>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</si>
  <si>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</si>
  <si>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</si>
  <si>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</si>
  <si>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</si>
  <si>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</si>
  <si>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</si>
  <si>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</si>
  <si>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</si>
  <si>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</si>
  <si>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</si>
  <si>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</si>
  <si>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</si>
  <si>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</si>
  <si>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</si>
  <si>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</si>
  <si>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</si>
  <si>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</si>
  <si>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</si>
  <si>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</si>
  <si>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</si>
  <si>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</si>
  <si>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</si>
  <si>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</si>
  <si>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</si>
  <si>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</si>
  <si>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</si>
  <si>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</si>
  <si>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</si>
  <si>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</si>
  <si>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</si>
  <si>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</si>
  <si>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</si>
  <si>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</si>
  <si>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</si>
  <si>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</si>
  <si>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</si>
  <si>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</si>
  <si>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</si>
  <si>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</si>
  <si>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</si>
  <si>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</si>
  <si>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</si>
  <si>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</si>
  <si>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</si>
  <si>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</si>
  <si>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</si>
  <si>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</si>
  <si>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</si>
  <si>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</si>
  <si>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</si>
  <si>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</si>
  <si>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</si>
  <si>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</si>
  <si>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</si>
  <si>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</si>
  <si>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</si>
  <si>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</si>
  <si>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</si>
  <si>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</si>
  <si>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</si>
  <si>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</si>
  <si>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</si>
  <si>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</si>
  <si>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</si>
  <si>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</si>
  <si>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</si>
  <si>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</si>
  <si>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</si>
  <si>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</si>
  <si>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</si>
  <si>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</si>
  <si>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</si>
  <si>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</si>
  <si>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</si>
  <si>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</si>
  <si>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</si>
  <si>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</si>
  <si>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</si>
  <si>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</si>
  <si>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</si>
  <si>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</si>
  <si>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</si>
  <si>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</si>
  <si>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</si>
  <si>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</si>
  <si>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</si>
  <si>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</si>
  <si>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</si>
  <si>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</si>
  <si>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</si>
  <si>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</si>
  <si>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</si>
  <si>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</si>
  <si>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</si>
  <si>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</si>
  <si>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</si>
  <si>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</si>
  <si>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</si>
  <si>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</si>
  <si>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</si>
  <si>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</si>
  <si>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</si>
  <si>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</si>
  <si>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</si>
  <si>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</si>
  <si>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</si>
  <si>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</si>
  <si>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</si>
  <si>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</si>
  <si>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</si>
  <si>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</si>
  <si>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</si>
  <si>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</si>
  <si>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</si>
  <si>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</si>
  <si>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</si>
  <si>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</si>
  <si>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</si>
  <si>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</si>
  <si>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</si>
  <si>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</si>
  <si>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</si>
  <si>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</si>
  <si>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</si>
  <si>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</si>
  <si>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</si>
  <si>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</si>
  <si>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</si>
  <si>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</si>
  <si>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</si>
  <si>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</si>
  <si>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</si>
  <si>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</si>
  <si>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</si>
  <si>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</si>
  <si>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</si>
  <si>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</si>
  <si>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</si>
  <si>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</si>
  <si>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</si>
  <si>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</si>
  <si>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</si>
  <si>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</si>
  <si>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</si>
  <si>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</si>
  <si>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</si>
  <si>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</si>
  <si>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</si>
  <si>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</si>
  <si>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</si>
  <si>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</si>
  <si>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</si>
  <si>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</si>
  <si>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</si>
  <si>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</si>
  <si>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</si>
  <si>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</si>
  <si>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</si>
  <si>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</si>
  <si>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</si>
  <si>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</si>
  <si>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</si>
  <si>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</si>
  <si>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</si>
  <si>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</si>
  <si>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</si>
  <si>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</si>
  <si>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</si>
  <si>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</si>
  <si>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</si>
  <si>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</si>
  <si>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</si>
  <si>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</si>
  <si>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</si>
  <si>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</si>
  <si>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</si>
  <si>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</si>
  <si>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</si>
  <si>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</si>
  <si>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</si>
  <si>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</si>
  <si>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</si>
  <si>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</si>
  <si>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</si>
  <si>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</si>
  <si>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</si>
  <si>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</si>
  <si>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</si>
  <si>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</si>
  <si>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</si>
  <si>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</si>
  <si>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</si>
  <si>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</si>
  <si>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</si>
  <si>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</si>
  <si>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</si>
  <si>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</si>
  <si>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</si>
  <si>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</si>
  <si>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</si>
  <si>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</si>
  <si>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</si>
  <si>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</si>
  <si>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</si>
  <si>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</si>
  <si>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</si>
  <si>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</si>
  <si>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</si>
  <si>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</si>
  <si>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</si>
  <si>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</si>
  <si>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</si>
  <si>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</si>
  <si>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</si>
  <si>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</si>
  <si>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</si>
  <si>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</si>
  <si>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</si>
  <si>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</si>
  <si>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</si>
  <si>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</si>
  <si>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</si>
  <si>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</si>
  <si>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</si>
  <si>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</si>
  <si>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</si>
  <si>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</si>
  <si>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</si>
  <si>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</si>
  <si>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</si>
  <si>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</si>
  <si>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</si>
  <si>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</si>
  <si>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</si>
  <si>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</si>
  <si>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</si>
  <si>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</si>
  <si>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</si>
  <si>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</si>
  <si>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</si>
  <si>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</si>
  <si>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</si>
  <si>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</si>
  <si>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</si>
  <si>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</si>
  <si>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</si>
  <si>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</si>
  <si>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</si>
  <si>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</si>
  <si>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</si>
  <si>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</si>
  <si>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</si>
  <si>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</si>
  <si>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</si>
  <si>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</si>
  <si>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</si>
  <si>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</si>
  <si>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</si>
  <si>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</si>
  <si>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</si>
  <si>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</si>
  <si>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</si>
  <si>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</si>
  <si>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</si>
  <si>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</si>
  <si>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</si>
  <si>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</si>
  <si>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</si>
  <si>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</si>
  <si>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</si>
  <si>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</si>
  <si>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</si>
  <si>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</si>
  <si>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</si>
  <si>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</si>
  <si>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</si>
  <si>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</si>
  <si>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</si>
  <si>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</si>
  <si>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</si>
  <si>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</si>
  <si>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</si>
  <si>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</si>
  <si>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</si>
  <si>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</si>
  <si>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</si>
  <si>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</si>
  <si>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</si>
  <si>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</si>
  <si>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</si>
  <si>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</si>
  <si>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</si>
  <si>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</si>
  <si>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</si>
  <si>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</si>
  <si>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</si>
  <si>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</si>
  <si>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</si>
  <si>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</si>
  <si>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</si>
  <si>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</si>
  <si>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</si>
  <si>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</si>
  <si>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</si>
  <si>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</si>
  <si>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</si>
  <si>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</si>
  <si>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</si>
  <si>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</si>
  <si>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</si>
  <si>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</si>
  <si>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</si>
  <si>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</si>
  <si>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</si>
  <si>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</si>
  <si>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</si>
  <si>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</si>
  <si>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</si>
  <si>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</si>
  <si>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</si>
  <si>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</si>
  <si>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</si>
  <si>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</si>
  <si>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</si>
  <si>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</si>
  <si>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</si>
  <si>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</si>
  <si>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</si>
  <si>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</si>
  <si>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</si>
  <si>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</si>
  <si>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</si>
  <si>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</si>
  <si>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</si>
  <si>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</si>
  <si>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</si>
  <si>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</si>
  <si>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</si>
  <si>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</si>
  <si>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</si>
  <si>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</si>
  <si>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</si>
  <si>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</si>
  <si>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</si>
  <si>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</si>
  <si>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</si>
  <si>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</si>
  <si>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</si>
  <si>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</si>
  <si>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</si>
  <si>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</si>
  <si>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</si>
  <si>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</si>
  <si>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</si>
  <si>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</si>
  <si>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</si>
  <si>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</si>
  <si>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</si>
  <si>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</si>
  <si>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</si>
  <si>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</si>
  <si>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</si>
  <si>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</si>
  <si>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</si>
  <si>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</si>
  <si>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</si>
  <si>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</si>
  <si>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</si>
  <si>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</si>
  <si>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</si>
  <si>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</si>
  <si>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</si>
  <si>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</si>
  <si>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</si>
  <si>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</si>
  <si>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</si>
  <si>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</si>
  <si>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</si>
  <si>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</si>
  <si>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</si>
  <si>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</si>
  <si>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</si>
  <si>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</si>
  <si>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</si>
  <si>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</si>
  <si>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</si>
  <si>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</si>
  <si>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</si>
  <si>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</si>
  <si>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</si>
  <si>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</si>
  <si>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</si>
  <si>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</si>
  <si>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</si>
  <si>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</si>
  <si>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</si>
  <si>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</si>
  <si>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</si>
  <si>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</si>
  <si>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</si>
  <si>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</si>
  <si>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</si>
  <si>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</si>
  <si>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</si>
  <si>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</si>
  <si>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</si>
  <si>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</si>
  <si>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</si>
  <si>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</si>
  <si>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</si>
  <si>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</si>
  <si>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</si>
  <si>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</si>
  <si>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</si>
  <si>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</si>
  <si>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</si>
  <si>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</si>
  <si>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</si>
  <si>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</si>
  <si>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</si>
  <si>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</si>
  <si>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</si>
  <si>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</si>
  <si>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</si>
  <si>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</si>
  <si>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</si>
  <si>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</si>
  <si>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</si>
  <si>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</si>
  <si>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</si>
  <si>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</si>
  <si>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</si>
  <si>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</si>
  <si>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</si>
  <si>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</si>
  <si>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</si>
  <si>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</si>
  <si>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</si>
  <si>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</si>
  <si>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</si>
  <si>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</si>
  <si>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</si>
  <si>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</si>
  <si>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</si>
  <si>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</si>
  <si>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</si>
  <si>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</si>
  <si>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</si>
  <si>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</si>
  <si>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</si>
  <si>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</si>
  <si>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</si>
  <si>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</si>
  <si>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</si>
  <si>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</si>
  <si>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</si>
  <si>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</si>
  <si>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</si>
  <si>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</si>
  <si>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</si>
  <si>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</si>
  <si>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</si>
  <si>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</si>
  <si>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</si>
  <si>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</si>
  <si>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</si>
  <si>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</si>
  <si>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</si>
  <si>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</si>
  <si>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</si>
  <si>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</si>
  <si>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</si>
  <si>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</si>
  <si>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</si>
  <si>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</si>
  <si>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</si>
  <si>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</si>
  <si>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</si>
  <si>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</si>
  <si>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</si>
  <si>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</si>
  <si>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</si>
  <si>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</si>
  <si>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</si>
  <si>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</si>
  <si>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</si>
  <si>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</si>
  <si>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</si>
  <si>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</si>
  <si>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</si>
  <si>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</si>
  <si>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</si>
  <si>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</si>
  <si>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</si>
  <si>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</si>
  <si>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</si>
  <si>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</si>
  <si>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</si>
  <si>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</si>
  <si>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</si>
  <si>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</si>
  <si>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</si>
  <si>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</si>
  <si>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</si>
  <si>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</si>
  <si>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</si>
  <si>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</si>
  <si>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</si>
  <si>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</si>
  <si>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</si>
  <si>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</si>
  <si>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</si>
  <si>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</si>
  <si>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</si>
  <si>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</si>
  <si>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</si>
  <si>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</si>
  <si>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</si>
  <si>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</si>
  <si>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</si>
  <si>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</si>
  <si>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</si>
  <si>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</si>
  <si>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</si>
  <si>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</si>
  <si>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</si>
  <si>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</si>
  <si>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</si>
  <si>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</si>
  <si>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</si>
  <si>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</si>
  <si>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</si>
  <si>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</si>
  <si>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</si>
  <si>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</si>
  <si>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</si>
  <si>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</si>
  <si>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</si>
  <si>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</si>
  <si>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</si>
  <si>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</si>
  <si>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</si>
  <si>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</si>
  <si>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</si>
  <si>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</si>
  <si>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</si>
  <si>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</si>
  <si>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</si>
  <si>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</si>
  <si>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</si>
  <si>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</si>
  <si>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</si>
  <si>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</si>
  <si>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</si>
  <si>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</si>
  <si>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</si>
  <si>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</si>
  <si>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</si>
  <si>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</si>
  <si>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</si>
  <si>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</si>
  <si>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</si>
  <si>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</si>
  <si>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</si>
  <si>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</si>
  <si>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</si>
  <si>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</si>
  <si>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</si>
  <si>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</si>
  <si>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</si>
  <si>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</si>
  <si>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</si>
  <si>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</si>
  <si>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</si>
  <si>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</si>
  <si>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</si>
  <si>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</si>
  <si>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</si>
  <si>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</si>
  <si>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</si>
  <si>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</si>
  <si>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</si>
  <si>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</si>
  <si>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</si>
  <si>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</si>
  <si>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</si>
  <si>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</si>
  <si>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</si>
  <si>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</si>
  <si>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</si>
  <si>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</si>
  <si>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</si>
  <si>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</si>
  <si>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</si>
  <si>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</si>
  <si>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</si>
  <si>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</si>
  <si>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</si>
  <si>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</si>
  <si>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</si>
  <si>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</si>
  <si>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</si>
  <si>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</si>
  <si>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</si>
  <si>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</si>
  <si>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</si>
  <si>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</si>
  <si>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</si>
  <si>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</si>
  <si>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</si>
  <si>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</si>
  <si>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</si>
  <si>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</si>
  <si>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</si>
  <si>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</si>
  <si>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</si>
  <si>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</si>
  <si>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</si>
  <si>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</si>
  <si>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</si>
  <si>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</si>
  <si>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</si>
  <si>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</si>
  <si>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</si>
  <si>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</si>
  <si>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</si>
  <si>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</si>
  <si>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</si>
  <si>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</si>
  <si>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</si>
  <si>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</si>
  <si>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</si>
  <si>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</si>
  <si>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</si>
  <si>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</si>
  <si>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</si>
  <si>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</si>
  <si>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</si>
  <si>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</si>
  <si>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</si>
  <si>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</si>
  <si>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</si>
  <si>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</si>
  <si>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</si>
  <si>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</si>
  <si>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</si>
  <si>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</si>
  <si>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</si>
  <si>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</si>
  <si>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</si>
  <si>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</si>
  <si>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</si>
  <si>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</si>
  <si>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</si>
  <si>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</si>
  <si>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</si>
  <si>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</si>
  <si>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</si>
  <si>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</si>
  <si>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</si>
  <si>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</si>
  <si>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</si>
  <si>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</si>
  <si>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</si>
  <si>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</si>
  <si>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</si>
  <si>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</si>
  <si>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</si>
  <si>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</si>
  <si>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</si>
  <si>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</si>
  <si>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</si>
  <si>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</si>
  <si>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</si>
  <si>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</si>
  <si>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</si>
  <si>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</si>
  <si>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</si>
  <si>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</si>
  <si>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</si>
  <si>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</si>
  <si>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</si>
  <si>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</si>
  <si>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</si>
  <si>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</si>
  <si>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</si>
  <si>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</si>
  <si>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</si>
  <si>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</si>
  <si>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</si>
  <si>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</si>
  <si>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</si>
  <si>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</si>
  <si>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</si>
  <si>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</si>
  <si>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</si>
  <si>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</si>
  <si>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</si>
  <si>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</si>
  <si>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</si>
  <si>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</si>
  <si>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</si>
  <si>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</si>
  <si>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</si>
  <si>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</si>
  <si>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</si>
  <si>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</si>
  <si>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</si>
  <si>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</si>
  <si>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</si>
  <si>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</si>
  <si>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</si>
  <si>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</si>
  <si>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</si>
  <si>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</si>
  <si>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</si>
  <si>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</si>
  <si>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</si>
  <si>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</si>
  <si>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</si>
  <si>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</si>
  <si>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</si>
  <si>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</si>
  <si>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</si>
  <si>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</si>
  <si>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</si>
  <si>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</si>
  <si>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</si>
  <si>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</si>
  <si>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</si>
  <si>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</si>
  <si>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</si>
  <si>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</si>
  <si>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</si>
  <si>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</si>
  <si>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</si>
  <si>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</si>
  <si>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</si>
  <si>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</si>
  <si>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</si>
  <si>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</si>
  <si>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</si>
  <si>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</si>
  <si>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</si>
  <si>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</si>
  <si>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</si>
  <si>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</si>
  <si>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</si>
  <si>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</si>
  <si>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</si>
  <si>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</si>
  <si>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</si>
  <si>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</si>
  <si>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</si>
  <si>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</si>
  <si>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</si>
  <si>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</si>
  <si>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</si>
  <si>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</si>
  <si>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</si>
  <si>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</si>
  <si>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</si>
  <si>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</si>
  <si>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</si>
  <si>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</si>
  <si>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</si>
  <si>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</si>
  <si>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</si>
  <si>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</si>
  <si>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</si>
  <si>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</si>
  <si>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</si>
  <si>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</si>
  <si>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</si>
  <si>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</si>
  <si>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</si>
  <si>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</si>
  <si>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</si>
  <si>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</si>
  <si>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</si>
  <si>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</si>
  <si>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</si>
  <si>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</si>
  <si>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</si>
  <si>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</si>
  <si>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</si>
  <si>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</si>
  <si>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</si>
  <si>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</si>
  <si>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</si>
  <si>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</si>
  <si>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</si>
  <si>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</si>
  <si>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</si>
  <si>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</si>
  <si>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</si>
  <si>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</si>
  <si>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</si>
  <si>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</si>
  <si>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</si>
  <si>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</si>
  <si>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</si>
  <si>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</si>
  <si>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</si>
  <si>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</si>
  <si>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</si>
  <si>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</si>
  <si>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</si>
  <si>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</si>
  <si>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</si>
  <si>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</si>
  <si>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</si>
  <si>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</si>
  <si>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12/89</t>
  </si>
  <si>
    <t>1/90</t>
  </si>
  <si>
    <t>1/91</t>
  </si>
  <si>
    <t>8/96</t>
  </si>
  <si>
    <t>10/00</t>
  </si>
  <si>
    <t>1/2010</t>
  </si>
  <si>
    <t>1/2011</t>
  </si>
  <si>
    <t>8/2011</t>
  </si>
  <si>
    <t>10/2012</t>
  </si>
  <si>
    <t>Represents revenues from parents for preschool and after school programs.</t>
  </si>
  <si>
    <t xml:space="preserve">The CTE tuition revenue will not match your figure, because it includes a receivable of $16,497.51 for the FY11 CTE </t>
  </si>
  <si>
    <t>surcharge which we will receive in December. The "Other Payables" $20,000 includes this receivable plus the local share</t>
  </si>
  <si>
    <t>of $13,058.91 and this year's surcharge receivable of $16,497.51.</t>
  </si>
  <si>
    <t>CTE surcharge. The $3,438.60 difference between our numbers is the difference between last year's surcharge receivable</t>
  </si>
  <si>
    <t>Whtes Mountains Regional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</si>
</sst>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1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12BF-85E6-4C02-98F0-B2C231310DF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908</v>
      </c>
      <c r="B2" s="21">
        <v>568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822963.21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4021.29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56771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112155.13</v>
      </c>
      <c r="G13" s="18">
        <v>19858.080000000002</v>
      </c>
      <c r="H13" s="18">
        <v>827059.49</v>
      </c>
      <c r="I13" s="18"/>
      <c r="J13" s="67">
        <f>SUM(I434)</f>
        <v>837371.9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29173.55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11572.5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1036656.68</v>
      </c>
      <c r="G19" s="41">
        <f>SUM(G9:G18)</f>
        <v>19858.080000000002</v>
      </c>
      <c r="H19" s="41">
        <f>SUM(H9:H18)</f>
        <v>827059.49</v>
      </c>
      <c r="I19" s="41">
        <f>SUM(I9:I18)</f>
        <v>0</v>
      </c>
      <c r="J19" s="41">
        <f>SUM(J9:J18)</f>
        <v>837371.9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-741447.91</v>
      </c>
      <c r="G23" s="18">
        <v>-57450.04</v>
      </c>
      <c r="H23" s="18">
        <v>798897.95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20000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1076130.57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195</v>
      </c>
      <c r="G30" s="18"/>
      <c r="H30" s="18">
        <v>0.27</v>
      </c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21884.84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354877.66000000003</v>
      </c>
      <c r="G33" s="41">
        <f>SUM(G23:G32)</f>
        <v>-57450.04</v>
      </c>
      <c r="H33" s="41">
        <f>SUM(H23:H32)</f>
        <v>820783.05999999994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63802.03</v>
      </c>
      <c r="G37" s="18"/>
      <c r="H37" s="18">
        <v>3120.94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215000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77308.12</v>
      </c>
      <c r="H41" s="18">
        <v>3155.49</v>
      </c>
      <c r="I41" s="18"/>
      <c r="J41" s="13">
        <f>SUM(I449)</f>
        <v>837371.9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402976.99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681779.02</v>
      </c>
      <c r="G43" s="41">
        <f>SUM(G35:G42)</f>
        <v>77308.12</v>
      </c>
      <c r="H43" s="41">
        <f>SUM(H35:H42)</f>
        <v>6276.43</v>
      </c>
      <c r="I43" s="41">
        <f>SUM(I35:I42)</f>
        <v>0</v>
      </c>
      <c r="J43" s="41">
        <f>SUM(J35:J42)</f>
        <v>837371.9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1036656.68</v>
      </c>
      <c r="G44" s="41">
        <f>G43+G33</f>
        <v>19858.079999999994</v>
      </c>
      <c r="H44" s="41">
        <f>H43+H33</f>
        <v>827059.49</v>
      </c>
      <c r="I44" s="41">
        <f>I43+I33</f>
        <v>0</v>
      </c>
      <c r="J44" s="41">
        <f>J43+J33</f>
        <v>837371.9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6439389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6439389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 t="s">
        <v>310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1000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497181.45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45047.03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32878.78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36374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612481.26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1872.74</v>
      </c>
      <c r="G88" s="18"/>
      <c r="H88" s="18"/>
      <c r="I88" s="18"/>
      <c r="J88" s="18">
        <v>15385.21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216878.22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7753.46</v>
      </c>
      <c r="G90" s="24" t="s">
        <v>312</v>
      </c>
      <c r="H90" s="18">
        <v>9246.01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42617.78</v>
      </c>
      <c r="G102" s="18"/>
      <c r="H102" s="18">
        <v>49976.77</v>
      </c>
      <c r="I102" s="18"/>
      <c r="J102" s="18">
        <v>51076.1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52243.979999999996</v>
      </c>
      <c r="G103" s="41">
        <f>SUM(G88:G102)</f>
        <v>216878.22</v>
      </c>
      <c r="H103" s="41">
        <f>SUM(H88:H102)</f>
        <v>59222.78</v>
      </c>
      <c r="I103" s="41">
        <f>SUM(I88:I102)</f>
        <v>0</v>
      </c>
      <c r="J103" s="41">
        <f>SUM(J88:J102)</f>
        <v>66461.31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7104114.2400000002</v>
      </c>
      <c r="G104" s="41">
        <f>G52+G103</f>
        <v>216878.22</v>
      </c>
      <c r="H104" s="41">
        <f>H52+H71+H86+H103</f>
        <v>59222.78</v>
      </c>
      <c r="I104" s="41">
        <f>I52+I103</f>
        <v>0</v>
      </c>
      <c r="J104" s="41">
        <f>J52+J103</f>
        <v>66461.31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6518943.75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2347475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236440.25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9102859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371842.96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127856.16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59535.08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26674.959999999999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5536.77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3826.58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585909.15999999992</v>
      </c>
      <c r="G128" s="41">
        <f>SUM(G115:G127)</f>
        <v>5536.77</v>
      </c>
      <c r="H128" s="41">
        <f>SUM(H115:H127)</f>
        <v>3826.58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9688768.1600000001</v>
      </c>
      <c r="G132" s="41">
        <f>G113+SUM(G128:G129)</f>
        <v>5536.77</v>
      </c>
      <c r="H132" s="41">
        <f>H113+SUM(H128:H131)</f>
        <v>3826.58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538678.53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161124.97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231750.54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298124.90000000002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383472.91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68433.2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48039.96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68433.2</v>
      </c>
      <c r="G154" s="41">
        <f>SUM(G142:G153)</f>
        <v>298124.90000000002</v>
      </c>
      <c r="H154" s="41">
        <f>SUM(H142:H153)</f>
        <v>1363066.91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29419.61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97852.81</v>
      </c>
      <c r="G161" s="41">
        <f>G139+G154+SUM(G155:G160)</f>
        <v>298124.90000000002</v>
      </c>
      <c r="H161" s="41">
        <f>H139+H154+SUM(H155:H160)</f>
        <v>1363066.91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174405.36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174405.36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174405.36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16890735.209999997</v>
      </c>
      <c r="G185" s="47">
        <f>G104+G132+G161+G184</f>
        <v>520539.89</v>
      </c>
      <c r="H185" s="47">
        <f>H104+H132+H161+H184</f>
        <v>1426116.27</v>
      </c>
      <c r="I185" s="47">
        <f>I104+I132+I161+I184</f>
        <v>0</v>
      </c>
      <c r="J185" s="47">
        <f>J104+J132+J184</f>
        <v>240866.66999999998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2550123.13</v>
      </c>
      <c r="G189" s="18">
        <v>1273861.18</v>
      </c>
      <c r="H189" s="18">
        <v>44072.61</v>
      </c>
      <c r="I189" s="18">
        <v>180010.88</v>
      </c>
      <c r="J189" s="18">
        <v>89224.34</v>
      </c>
      <c r="K189" s="18">
        <v>838.76</v>
      </c>
      <c r="L189" s="19">
        <f>SUM(F189:K189)</f>
        <v>4138130.899999999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885994.5</v>
      </c>
      <c r="G190" s="18">
        <v>441138.8</v>
      </c>
      <c r="H190" s="18">
        <v>49558.97</v>
      </c>
      <c r="I190" s="18">
        <v>10907.28</v>
      </c>
      <c r="J190" s="18">
        <v>3806.37</v>
      </c>
      <c r="K190" s="18">
        <v>219</v>
      </c>
      <c r="L190" s="19">
        <f>SUM(F190:K190)</f>
        <v>1391624.9200000002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87487.45</v>
      </c>
      <c r="G192" s="18">
        <v>9653.58</v>
      </c>
      <c r="H192" s="18">
        <v>9547.73</v>
      </c>
      <c r="I192" s="18">
        <v>12029.84</v>
      </c>
      <c r="J192" s="18">
        <v>2268.25</v>
      </c>
      <c r="K192" s="18">
        <v>1126</v>
      </c>
      <c r="L192" s="19">
        <f>SUM(F192:K192)</f>
        <v>122112.84999999999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482291.21</v>
      </c>
      <c r="G194" s="18">
        <v>194873.38</v>
      </c>
      <c r="H194" s="18">
        <v>71921.22</v>
      </c>
      <c r="I194" s="18">
        <v>8872.8799999999992</v>
      </c>
      <c r="J194" s="18">
        <v>377.5</v>
      </c>
      <c r="K194" s="18">
        <v>0</v>
      </c>
      <c r="L194" s="19">
        <f t="shared" ref="L194:L200" si="0">SUM(F194:K194)</f>
        <v>758336.19000000006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114632.4</v>
      </c>
      <c r="G195" s="18">
        <v>91997.66</v>
      </c>
      <c r="H195" s="18">
        <v>41024.6</v>
      </c>
      <c r="I195" s="18">
        <v>24709.86</v>
      </c>
      <c r="J195" s="18">
        <v>1758.65</v>
      </c>
      <c r="K195" s="18">
        <v>2361.75</v>
      </c>
      <c r="L195" s="19">
        <f t="shared" si="0"/>
        <v>276484.92000000004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266974.7</v>
      </c>
      <c r="G196" s="18">
        <v>89186.62</v>
      </c>
      <c r="H196" s="18">
        <v>86699.24</v>
      </c>
      <c r="I196" s="18">
        <v>36359.67</v>
      </c>
      <c r="J196" s="18">
        <v>730.83</v>
      </c>
      <c r="K196" s="18">
        <v>23422.86</v>
      </c>
      <c r="L196" s="19">
        <f t="shared" si="0"/>
        <v>503373.92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466206.24</v>
      </c>
      <c r="G197" s="18">
        <v>200386.66</v>
      </c>
      <c r="H197" s="18">
        <v>57938.1</v>
      </c>
      <c r="I197" s="18">
        <v>10370.709999999999</v>
      </c>
      <c r="J197" s="18">
        <v>260</v>
      </c>
      <c r="K197" s="18">
        <v>16486.71</v>
      </c>
      <c r="L197" s="19">
        <f t="shared" si="0"/>
        <v>751648.41999999993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70396.240000000005</v>
      </c>
      <c r="G198" s="18">
        <v>43247.93</v>
      </c>
      <c r="H198" s="18">
        <v>4989.49</v>
      </c>
      <c r="I198" s="18">
        <v>0</v>
      </c>
      <c r="J198" s="18">
        <v>0</v>
      </c>
      <c r="K198" s="18">
        <v>0</v>
      </c>
      <c r="L198" s="19">
        <f t="shared" si="0"/>
        <v>118633.66000000002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311340.78999999998</v>
      </c>
      <c r="G199" s="18">
        <v>152458.66</v>
      </c>
      <c r="H199" s="18">
        <v>324372.61</v>
      </c>
      <c r="I199" s="18">
        <v>282473.40000000002</v>
      </c>
      <c r="J199" s="18">
        <v>9374.42</v>
      </c>
      <c r="K199" s="18">
        <v>0</v>
      </c>
      <c r="L199" s="19">
        <f t="shared" si="0"/>
        <v>1080019.8799999999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12243.2</v>
      </c>
      <c r="G200" s="18">
        <v>1216</v>
      </c>
      <c r="H200" s="18">
        <v>499278.75</v>
      </c>
      <c r="I200" s="18">
        <v>3239.68</v>
      </c>
      <c r="J200" s="18">
        <v>0</v>
      </c>
      <c r="K200" s="18">
        <v>0</v>
      </c>
      <c r="L200" s="19">
        <f t="shared" si="0"/>
        <v>515977.63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5247689.8600000003</v>
      </c>
      <c r="G203" s="41">
        <f t="shared" si="1"/>
        <v>2498020.4700000002</v>
      </c>
      <c r="H203" s="41">
        <f t="shared" si="1"/>
        <v>1189403.3199999998</v>
      </c>
      <c r="I203" s="41">
        <f t="shared" si="1"/>
        <v>568974.20000000007</v>
      </c>
      <c r="J203" s="41">
        <f t="shared" si="1"/>
        <v>107800.35999999999</v>
      </c>
      <c r="K203" s="41">
        <f t="shared" si="1"/>
        <v>44455.08</v>
      </c>
      <c r="L203" s="41">
        <f t="shared" si="1"/>
        <v>9656343.290000001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1279875.07</v>
      </c>
      <c r="G225" s="18">
        <v>590998.79</v>
      </c>
      <c r="H225" s="18">
        <v>5962.86</v>
      </c>
      <c r="I225" s="18">
        <v>88579.43</v>
      </c>
      <c r="J225" s="18">
        <v>62188.27</v>
      </c>
      <c r="K225" s="18">
        <v>1440.27</v>
      </c>
      <c r="L225" s="19">
        <f>SUM(F225:K225)</f>
        <v>2029044.6900000002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332462.48</v>
      </c>
      <c r="G226" s="18">
        <v>154614.74</v>
      </c>
      <c r="H226" s="18">
        <v>302838.14</v>
      </c>
      <c r="I226" s="18">
        <v>2037.61</v>
      </c>
      <c r="J226" s="18">
        <v>2449.9699999999998</v>
      </c>
      <c r="K226" s="18">
        <v>0</v>
      </c>
      <c r="L226" s="19">
        <f>SUM(F226:K226)</f>
        <v>794402.94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298426</v>
      </c>
      <c r="G227" s="18">
        <v>157003.59</v>
      </c>
      <c r="H227" s="18">
        <v>16469.16</v>
      </c>
      <c r="I227" s="18">
        <v>58757.69</v>
      </c>
      <c r="J227" s="18">
        <v>5237.78</v>
      </c>
      <c r="K227" s="18">
        <v>1979.21</v>
      </c>
      <c r="L227" s="19">
        <f>SUM(F227:K227)</f>
        <v>537873.42999999993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187391.13</v>
      </c>
      <c r="G228" s="18">
        <v>41201.199999999997</v>
      </c>
      <c r="H228" s="18">
        <v>23803.7</v>
      </c>
      <c r="I228" s="18">
        <v>14830.54</v>
      </c>
      <c r="J228" s="18">
        <v>7500</v>
      </c>
      <c r="K228" s="18">
        <v>11904.31</v>
      </c>
      <c r="L228" s="19">
        <f>SUM(F228:K228)</f>
        <v>286630.88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235674.76</v>
      </c>
      <c r="G230" s="18">
        <v>115826.08</v>
      </c>
      <c r="H230" s="18">
        <v>46933.25</v>
      </c>
      <c r="I230" s="18">
        <v>4578.8599999999997</v>
      </c>
      <c r="J230" s="18">
        <v>0</v>
      </c>
      <c r="K230" s="18">
        <v>0</v>
      </c>
      <c r="L230" s="19">
        <f t="shared" ref="L230:L236" si="4">SUM(F230:K230)</f>
        <v>403012.95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69178.31</v>
      </c>
      <c r="G231" s="18">
        <v>41299.51</v>
      </c>
      <c r="H231" s="18">
        <v>23309.16</v>
      </c>
      <c r="I231" s="18">
        <v>13057.13</v>
      </c>
      <c r="J231" s="18">
        <v>0</v>
      </c>
      <c r="K231" s="18">
        <v>5163.25</v>
      </c>
      <c r="L231" s="19">
        <f t="shared" si="4"/>
        <v>152007.36000000002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256295.12</v>
      </c>
      <c r="G232" s="18">
        <v>102895.35</v>
      </c>
      <c r="H232" s="18">
        <v>75219.05</v>
      </c>
      <c r="I232" s="18">
        <v>17871.55</v>
      </c>
      <c r="J232" s="18">
        <v>359.96</v>
      </c>
      <c r="K232" s="18">
        <v>11872.08</v>
      </c>
      <c r="L232" s="19">
        <f t="shared" si="4"/>
        <v>464513.11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190403.98</v>
      </c>
      <c r="G233" s="18">
        <v>95859.91</v>
      </c>
      <c r="H233" s="18">
        <v>35282.58</v>
      </c>
      <c r="I233" s="18">
        <v>13396.01</v>
      </c>
      <c r="J233" s="18">
        <v>0</v>
      </c>
      <c r="K233" s="18">
        <v>15237.26</v>
      </c>
      <c r="L233" s="19">
        <f t="shared" si="4"/>
        <v>350179.74000000005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34672.78</v>
      </c>
      <c r="G234" s="18">
        <v>21301.22</v>
      </c>
      <c r="H234" s="18">
        <v>2457.5100000000002</v>
      </c>
      <c r="I234" s="18">
        <v>0</v>
      </c>
      <c r="J234" s="18">
        <v>0</v>
      </c>
      <c r="K234" s="18">
        <v>0</v>
      </c>
      <c r="L234" s="19">
        <f t="shared" si="4"/>
        <v>58431.51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199815.34</v>
      </c>
      <c r="G235" s="18">
        <v>89850.63</v>
      </c>
      <c r="H235" s="18">
        <v>189514.15</v>
      </c>
      <c r="I235" s="18">
        <v>209679.26</v>
      </c>
      <c r="J235" s="18">
        <v>17711.5</v>
      </c>
      <c r="K235" s="18">
        <v>0</v>
      </c>
      <c r="L235" s="19">
        <f t="shared" si="4"/>
        <v>706570.88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6030.24</v>
      </c>
      <c r="G236" s="18">
        <v>598.91999999999996</v>
      </c>
      <c r="H236" s="18">
        <v>359862.11</v>
      </c>
      <c r="I236" s="18">
        <v>1595.66</v>
      </c>
      <c r="J236" s="18">
        <v>0</v>
      </c>
      <c r="K236" s="18">
        <v>0</v>
      </c>
      <c r="L236" s="19">
        <f t="shared" si="4"/>
        <v>368086.92999999993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211</v>
      </c>
      <c r="I237" s="18">
        <v>270</v>
      </c>
      <c r="J237" s="18">
        <v>0</v>
      </c>
      <c r="K237" s="18">
        <v>0</v>
      </c>
      <c r="L237" s="19">
        <f>SUM(F237:K237)</f>
        <v>481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3090225.2100000004</v>
      </c>
      <c r="G239" s="41">
        <f t="shared" si="5"/>
        <v>1411449.94</v>
      </c>
      <c r="H239" s="41">
        <f t="shared" si="5"/>
        <v>1081862.67</v>
      </c>
      <c r="I239" s="41">
        <f t="shared" si="5"/>
        <v>424653.73999999993</v>
      </c>
      <c r="J239" s="41">
        <f t="shared" si="5"/>
        <v>95447.48000000001</v>
      </c>
      <c r="K239" s="41">
        <f t="shared" si="5"/>
        <v>47596.380000000005</v>
      </c>
      <c r="L239" s="41">
        <f t="shared" si="5"/>
        <v>6151235.4199999999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8337915.0700000003</v>
      </c>
      <c r="G249" s="41">
        <f t="shared" si="8"/>
        <v>3909470.41</v>
      </c>
      <c r="H249" s="41">
        <f t="shared" si="8"/>
        <v>2271265.9899999998</v>
      </c>
      <c r="I249" s="41">
        <f t="shared" si="8"/>
        <v>993627.94</v>
      </c>
      <c r="J249" s="41">
        <f t="shared" si="8"/>
        <v>203247.84</v>
      </c>
      <c r="K249" s="41">
        <f t="shared" si="8"/>
        <v>92051.46</v>
      </c>
      <c r="L249" s="41">
        <f t="shared" si="8"/>
        <v>15807578.710000001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290000</v>
      </c>
      <c r="L252" s="19">
        <f>SUM(F252:K252)</f>
        <v>290000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8367.5</v>
      </c>
      <c r="L253" s="19">
        <f>SUM(F253:K253)</f>
        <v>8367.5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174405.36</v>
      </c>
      <c r="L258" s="19">
        <f t="shared" si="9"/>
        <v>174405.36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87200</v>
      </c>
      <c r="L260" s="19">
        <f t="shared" si="9"/>
        <v>87200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559972.86</v>
      </c>
      <c r="L262" s="41">
        <f t="shared" si="9"/>
        <v>559972.86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8337915.0700000003</v>
      </c>
      <c r="G263" s="42">
        <f t="shared" si="11"/>
        <v>3909470.41</v>
      </c>
      <c r="H263" s="42">
        <f t="shared" si="11"/>
        <v>2271265.9899999998</v>
      </c>
      <c r="I263" s="42">
        <f t="shared" si="11"/>
        <v>993627.94</v>
      </c>
      <c r="J263" s="42">
        <f t="shared" si="11"/>
        <v>203247.84</v>
      </c>
      <c r="K263" s="42">
        <f t="shared" si="11"/>
        <v>652024.31999999995</v>
      </c>
      <c r="L263" s="42">
        <f t="shared" si="11"/>
        <v>16367551.57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11715</v>
      </c>
      <c r="G268" s="18">
        <v>1763.55</v>
      </c>
      <c r="H268" s="18">
        <v>0</v>
      </c>
      <c r="I268" s="18">
        <v>51355.14</v>
      </c>
      <c r="J268" s="18">
        <v>10223.040000000001</v>
      </c>
      <c r="K268" s="18">
        <v>3825</v>
      </c>
      <c r="L268" s="19">
        <f>SUM(F268:K268)</f>
        <v>78881.73000000001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219181.29</v>
      </c>
      <c r="G269" s="18">
        <v>109050.61</v>
      </c>
      <c r="H269" s="18">
        <v>762.29</v>
      </c>
      <c r="I269" s="18">
        <v>12128.6</v>
      </c>
      <c r="J269" s="18">
        <v>17381.810000000001</v>
      </c>
      <c r="K269" s="18">
        <v>0</v>
      </c>
      <c r="L269" s="19">
        <f>SUM(F269:K269)</f>
        <v>358504.6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272</v>
      </c>
      <c r="G271" s="18">
        <v>36.85</v>
      </c>
      <c r="H271" s="18">
        <v>1043.44</v>
      </c>
      <c r="I271" s="18">
        <v>122.05</v>
      </c>
      <c r="J271" s="18">
        <v>0</v>
      </c>
      <c r="K271" s="18">
        <v>1647.8</v>
      </c>
      <c r="L271" s="19">
        <f>SUM(F271:K271)</f>
        <v>3122.14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90834.04</v>
      </c>
      <c r="G273" s="18">
        <v>32776.9</v>
      </c>
      <c r="H273" s="18">
        <v>85314.36</v>
      </c>
      <c r="I273" s="18">
        <v>9292</v>
      </c>
      <c r="J273" s="18">
        <v>1431.56</v>
      </c>
      <c r="K273" s="18">
        <v>0</v>
      </c>
      <c r="L273" s="19">
        <f t="shared" ref="L273:L279" si="12">SUM(F273:K273)</f>
        <v>219648.86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69543.42</v>
      </c>
      <c r="G274" s="18">
        <v>10180.59</v>
      </c>
      <c r="H274" s="18">
        <v>31722.86</v>
      </c>
      <c r="I274" s="18">
        <v>2198.3000000000002</v>
      </c>
      <c r="J274" s="18">
        <v>0</v>
      </c>
      <c r="K274" s="18">
        <v>0</v>
      </c>
      <c r="L274" s="19">
        <f t="shared" si="12"/>
        <v>113645.17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41848.400000000001</v>
      </c>
      <c r="G275" s="18">
        <v>15029.7</v>
      </c>
      <c r="H275" s="18">
        <v>0</v>
      </c>
      <c r="I275" s="18">
        <v>0</v>
      </c>
      <c r="J275" s="18">
        <v>357.89</v>
      </c>
      <c r="K275" s="18">
        <v>0</v>
      </c>
      <c r="L275" s="19">
        <f t="shared" si="12"/>
        <v>57235.990000000005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12976.4</v>
      </c>
      <c r="I278" s="18">
        <v>0</v>
      </c>
      <c r="J278" s="18">
        <v>9523.6</v>
      </c>
      <c r="K278" s="18">
        <v>0</v>
      </c>
      <c r="L278" s="19">
        <f t="shared" si="12"/>
        <v>22500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10186.25</v>
      </c>
      <c r="G280" s="18">
        <v>779.27</v>
      </c>
      <c r="H280" s="18">
        <v>2307.75</v>
      </c>
      <c r="I280" s="18">
        <v>3413.02</v>
      </c>
      <c r="J280" s="18">
        <v>0</v>
      </c>
      <c r="K280" s="18">
        <v>0</v>
      </c>
      <c r="L280" s="19">
        <f>SUM(F280:K280)</f>
        <v>16686.29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443580.4</v>
      </c>
      <c r="G282" s="42">
        <f t="shared" si="13"/>
        <v>169617.47</v>
      </c>
      <c r="H282" s="42">
        <f t="shared" si="13"/>
        <v>134127.1</v>
      </c>
      <c r="I282" s="42">
        <f t="shared" si="13"/>
        <v>78509.110000000015</v>
      </c>
      <c r="J282" s="42">
        <f t="shared" si="13"/>
        <v>38917.9</v>
      </c>
      <c r="K282" s="42">
        <f t="shared" si="13"/>
        <v>5472.8</v>
      </c>
      <c r="L282" s="41">
        <f t="shared" si="13"/>
        <v>870224.78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12486</v>
      </c>
      <c r="G306" s="18">
        <v>3053.43</v>
      </c>
      <c r="H306" s="18">
        <v>925</v>
      </c>
      <c r="I306" s="18">
        <v>4022.33</v>
      </c>
      <c r="J306" s="18">
        <v>3813.35</v>
      </c>
      <c r="K306" s="18">
        <v>0</v>
      </c>
      <c r="L306" s="19">
        <f>SUM(F306:K306)</f>
        <v>24300.11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38762</v>
      </c>
      <c r="G307" s="18">
        <v>27848.13</v>
      </c>
      <c r="H307" s="18">
        <v>375.46</v>
      </c>
      <c r="I307" s="18">
        <v>4908.28</v>
      </c>
      <c r="J307" s="18">
        <v>8561.19</v>
      </c>
      <c r="K307" s="18">
        <v>0</v>
      </c>
      <c r="L307" s="19">
        <f>SUM(F307:K307)</f>
        <v>80455.060000000012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69601</v>
      </c>
      <c r="G308" s="18">
        <v>26015.54</v>
      </c>
      <c r="H308" s="18">
        <v>21383.27</v>
      </c>
      <c r="I308" s="18">
        <v>15803.84</v>
      </c>
      <c r="J308" s="18">
        <v>20845.650000000001</v>
      </c>
      <c r="K308" s="18">
        <v>1800</v>
      </c>
      <c r="L308" s="19">
        <f>SUM(F308:K308)</f>
        <v>155449.30000000002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1225</v>
      </c>
      <c r="I309" s="18">
        <v>264</v>
      </c>
      <c r="J309" s="18">
        <v>0</v>
      </c>
      <c r="K309" s="18">
        <v>0</v>
      </c>
      <c r="L309" s="19">
        <f>SUM(F309:K309)</f>
        <v>1489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82677.47</v>
      </c>
      <c r="G311" s="18">
        <v>33351.839999999997</v>
      </c>
      <c r="H311" s="18">
        <v>47696.18</v>
      </c>
      <c r="I311" s="18">
        <v>4700.66</v>
      </c>
      <c r="J311" s="18">
        <v>705.1</v>
      </c>
      <c r="K311" s="18">
        <v>0</v>
      </c>
      <c r="L311" s="19">
        <f t="shared" ref="L311:L317" si="16">SUM(F311:K311)</f>
        <v>169131.25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33458.43</v>
      </c>
      <c r="G312" s="18">
        <v>4983.59</v>
      </c>
      <c r="H312" s="18">
        <v>35551.24</v>
      </c>
      <c r="I312" s="18">
        <v>1272.5</v>
      </c>
      <c r="J312" s="18">
        <v>0</v>
      </c>
      <c r="K312" s="18">
        <v>2982.03</v>
      </c>
      <c r="L312" s="19">
        <f t="shared" si="16"/>
        <v>78247.790000000008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20611.900000000001</v>
      </c>
      <c r="G313" s="18">
        <v>7402.69</v>
      </c>
      <c r="H313" s="18">
        <v>0</v>
      </c>
      <c r="I313" s="18">
        <v>0</v>
      </c>
      <c r="J313" s="18">
        <v>176.28</v>
      </c>
      <c r="K313" s="18">
        <v>0</v>
      </c>
      <c r="L313" s="19">
        <f t="shared" si="16"/>
        <v>28190.87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1031.25</v>
      </c>
      <c r="I318" s="18">
        <v>0</v>
      </c>
      <c r="J318" s="18">
        <v>0</v>
      </c>
      <c r="K318" s="18">
        <v>0</v>
      </c>
      <c r="L318" s="19">
        <f>SUM(F318:K318)</f>
        <v>1031.25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257596.79999999999</v>
      </c>
      <c r="G320" s="42">
        <f t="shared" si="17"/>
        <v>102655.22</v>
      </c>
      <c r="H320" s="42">
        <f t="shared" si="17"/>
        <v>108187.4</v>
      </c>
      <c r="I320" s="42">
        <f t="shared" si="17"/>
        <v>30971.61</v>
      </c>
      <c r="J320" s="42">
        <f t="shared" si="17"/>
        <v>34101.57</v>
      </c>
      <c r="K320" s="42">
        <f t="shared" si="17"/>
        <v>4782.0300000000007</v>
      </c>
      <c r="L320" s="41">
        <f t="shared" si="17"/>
        <v>538294.63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701177.2</v>
      </c>
      <c r="G330" s="41">
        <f t="shared" si="20"/>
        <v>272272.69</v>
      </c>
      <c r="H330" s="41">
        <f t="shared" si="20"/>
        <v>242314.5</v>
      </c>
      <c r="I330" s="41">
        <f t="shared" si="20"/>
        <v>109480.72000000002</v>
      </c>
      <c r="J330" s="41">
        <f t="shared" si="20"/>
        <v>73019.47</v>
      </c>
      <c r="K330" s="41">
        <f t="shared" si="20"/>
        <v>10254.830000000002</v>
      </c>
      <c r="L330" s="41">
        <f t="shared" si="20"/>
        <v>1408519.4100000001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19264.259999999998</v>
      </c>
      <c r="L336" s="19">
        <f t="shared" ref="L336:L342" si="21">SUM(F336:K336)</f>
        <v>19264.259999999998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19264.259999999998</v>
      </c>
      <c r="L343" s="41">
        <f>SUM(L333:L342)</f>
        <v>19264.259999999998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701177.2</v>
      </c>
      <c r="G344" s="41">
        <f>G330</f>
        <v>272272.69</v>
      </c>
      <c r="H344" s="41">
        <f>H330</f>
        <v>242314.5</v>
      </c>
      <c r="I344" s="41">
        <f>I330</f>
        <v>109480.72000000002</v>
      </c>
      <c r="J344" s="41">
        <f>J330</f>
        <v>73019.47</v>
      </c>
      <c r="K344" s="47">
        <f>K330+K343</f>
        <v>29519.09</v>
      </c>
      <c r="L344" s="41">
        <f>L330+L343</f>
        <v>1427783.6700000002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136827.10999999999</v>
      </c>
      <c r="G350" s="18">
        <v>74150.27</v>
      </c>
      <c r="H350" s="18">
        <v>791.31</v>
      </c>
      <c r="I350" s="18">
        <v>125677.4</v>
      </c>
      <c r="J350" s="18">
        <v>188.28</v>
      </c>
      <c r="K350" s="18">
        <v>2775.15</v>
      </c>
      <c r="L350" s="13">
        <f>SUM(F350:K350)</f>
        <v>340409.52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51128.41</v>
      </c>
      <c r="G352" s="18">
        <v>18199.79</v>
      </c>
      <c r="H352" s="18">
        <v>1334.49</v>
      </c>
      <c r="I352" s="18">
        <v>89016.69</v>
      </c>
      <c r="J352" s="18">
        <v>81.69</v>
      </c>
      <c r="K352" s="18">
        <v>925.05</v>
      </c>
      <c r="L352" s="19">
        <f>SUM(F352:K352)</f>
        <v>160686.12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187955.52</v>
      </c>
      <c r="G354" s="47">
        <f t="shared" si="22"/>
        <v>92350.06</v>
      </c>
      <c r="H354" s="47">
        <f t="shared" si="22"/>
        <v>2125.8000000000002</v>
      </c>
      <c r="I354" s="47">
        <f t="shared" si="22"/>
        <v>214694.09</v>
      </c>
      <c r="J354" s="47">
        <f t="shared" si="22"/>
        <v>269.97000000000003</v>
      </c>
      <c r="K354" s="47">
        <f t="shared" si="22"/>
        <v>3700.2</v>
      </c>
      <c r="L354" s="47">
        <f t="shared" si="22"/>
        <v>501095.64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114660</v>
      </c>
      <c r="G359" s="18"/>
      <c r="H359" s="18">
        <v>82435.81</v>
      </c>
      <c r="I359" s="56">
        <f>SUM(F359:H359)</f>
        <v>197095.81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11017.4</v>
      </c>
      <c r="G360" s="63"/>
      <c r="H360" s="63">
        <v>6580.88</v>
      </c>
      <c r="I360" s="56">
        <f>SUM(F360:H360)</f>
        <v>17598.28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125677.4</v>
      </c>
      <c r="G361" s="47">
        <f>SUM(G359:G360)</f>
        <v>0</v>
      </c>
      <c r="H361" s="47">
        <f>SUM(H359:H360)</f>
        <v>89016.69</v>
      </c>
      <c r="I361" s="47">
        <f>SUM(I359:I360)</f>
        <v>214694.09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49405.36</v>
      </c>
      <c r="H384" s="18">
        <v>94.85</v>
      </c>
      <c r="I384" s="18"/>
      <c r="J384" s="24" t="s">
        <v>312</v>
      </c>
      <c r="K384" s="24" t="s">
        <v>312</v>
      </c>
      <c r="L384" s="56">
        <f t="shared" si="25"/>
        <v>49500.21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49405.36</v>
      </c>
      <c r="H385" s="139">
        <f>SUM(H379:H384)</f>
        <v>94.85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49500.21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125000</v>
      </c>
      <c r="H388" s="18">
        <v>604.28</v>
      </c>
      <c r="I388" s="18"/>
      <c r="J388" s="24" t="s">
        <v>312</v>
      </c>
      <c r="K388" s="24" t="s">
        <v>312</v>
      </c>
      <c r="L388" s="56">
        <f t="shared" si="26"/>
        <v>125604.28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14686.08</v>
      </c>
      <c r="I392" s="18">
        <v>51076.1</v>
      </c>
      <c r="J392" s="24" t="s">
        <v>312</v>
      </c>
      <c r="K392" s="24" t="s">
        <v>312</v>
      </c>
      <c r="L392" s="56">
        <f t="shared" si="26"/>
        <v>65762.179999999993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125000</v>
      </c>
      <c r="H393" s="47">
        <f>SUM(H387:H392)</f>
        <v>15290.36</v>
      </c>
      <c r="I393" s="47">
        <f>SUM(I387:I392)</f>
        <v>51076.1</v>
      </c>
      <c r="J393" s="45" t="s">
        <v>312</v>
      </c>
      <c r="K393" s="45" t="s">
        <v>312</v>
      </c>
      <c r="L393" s="47">
        <f>SUM(L387:L392)</f>
        <v>191366.46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174405.36</v>
      </c>
      <c r="H400" s="47">
        <f>H385+H393+H399</f>
        <v>15385.210000000001</v>
      </c>
      <c r="I400" s="47">
        <f>I385+I393+I399</f>
        <v>51076.1</v>
      </c>
      <c r="J400" s="24" t="s">
        <v>312</v>
      </c>
      <c r="K400" s="24" t="s">
        <v>312</v>
      </c>
      <c r="L400" s="47">
        <f>L385+L393+L399</f>
        <v>240866.66999999998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8288.26</v>
      </c>
      <c r="I410" s="18"/>
      <c r="J410" s="18">
        <v>16465.25</v>
      </c>
      <c r="K410" s="18"/>
      <c r="L410" s="56">
        <f t="shared" si="27"/>
        <v>24753.510000000002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8288.26</v>
      </c>
      <c r="I411" s="139">
        <f t="shared" si="28"/>
        <v>0</v>
      </c>
      <c r="J411" s="139">
        <f t="shared" si="28"/>
        <v>16465.25</v>
      </c>
      <c r="K411" s="139">
        <f t="shared" si="28"/>
        <v>0</v>
      </c>
      <c r="L411" s="47">
        <f t="shared" si="28"/>
        <v>24753.510000000002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30549.85</v>
      </c>
      <c r="I414" s="18"/>
      <c r="J414" s="18" t="s">
        <v>310</v>
      </c>
      <c r="K414" s="18" t="s">
        <v>310</v>
      </c>
      <c r="L414" s="56">
        <f t="shared" si="29"/>
        <v>30549.85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12891.54</v>
      </c>
      <c r="I418" s="18"/>
      <c r="J418" s="18"/>
      <c r="K418" s="18"/>
      <c r="L418" s="56">
        <f t="shared" si="29"/>
        <v>12891.54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43441.39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43441.39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51729.65</v>
      </c>
      <c r="I426" s="47">
        <f t="shared" si="32"/>
        <v>0</v>
      </c>
      <c r="J426" s="47">
        <f t="shared" si="32"/>
        <v>16465.25</v>
      </c>
      <c r="K426" s="47">
        <f t="shared" si="32"/>
        <v>0</v>
      </c>
      <c r="L426" s="47">
        <f t="shared" si="32"/>
        <v>68194.899999999994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101879.09</v>
      </c>
      <c r="G434" s="18">
        <v>735492.81</v>
      </c>
      <c r="H434" s="18"/>
      <c r="I434" s="56">
        <f t="shared" si="33"/>
        <v>837371.9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 t="s">
        <v>310</v>
      </c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101879.09</v>
      </c>
      <c r="G438" s="13">
        <f>SUM(G431:G437)</f>
        <v>735492.81</v>
      </c>
      <c r="H438" s="13">
        <f>SUM(H431:H437)</f>
        <v>0</v>
      </c>
      <c r="I438" s="13">
        <f>SUM(I431:I437)</f>
        <v>837371.9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 t="s">
        <v>310</v>
      </c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101879.09</v>
      </c>
      <c r="G449" s="18">
        <v>735492.81</v>
      </c>
      <c r="H449" s="18"/>
      <c r="I449" s="56">
        <f>SUM(F449:H449)</f>
        <v>837371.9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101879.09</v>
      </c>
      <c r="G450" s="83">
        <f>SUM(G446:G449)</f>
        <v>735492.81</v>
      </c>
      <c r="H450" s="83">
        <f>SUM(H446:H449)</f>
        <v>0</v>
      </c>
      <c r="I450" s="83">
        <f>SUM(I446:I449)</f>
        <v>837371.9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101879.09</v>
      </c>
      <c r="G451" s="42">
        <f>G444+G450</f>
        <v>735492.81</v>
      </c>
      <c r="H451" s="42">
        <f>H444+H450</f>
        <v>0</v>
      </c>
      <c r="I451" s="42">
        <f>I444+I450</f>
        <v>837371.9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158595.38</v>
      </c>
      <c r="G455" s="18">
        <v>57863.87</v>
      </c>
      <c r="H455" s="18">
        <v>7943.83</v>
      </c>
      <c r="I455" s="18"/>
      <c r="J455" s="18">
        <v>664700.13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thickBot="1" x14ac:dyDescent="0.25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thickTop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16890735.210000001</v>
      </c>
      <c r="G458" s="18">
        <v>520539.89</v>
      </c>
      <c r="H458" s="271">
        <v>1426116.27</v>
      </c>
      <c r="I458" s="18"/>
      <c r="J458" s="18">
        <v>240866.67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16890735.210000001</v>
      </c>
      <c r="G460" s="53">
        <f>SUM(G458:G459)</f>
        <v>520539.89</v>
      </c>
      <c r="H460" s="53">
        <f>SUM(H458:H459)</f>
        <v>1426116.27</v>
      </c>
      <c r="I460" s="53">
        <f>SUM(I458:I459)</f>
        <v>0</v>
      </c>
      <c r="J460" s="53">
        <f>SUM(J458:J459)</f>
        <v>240866.67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16367551.57</v>
      </c>
      <c r="G462" s="18">
        <v>501095.64</v>
      </c>
      <c r="H462" s="18">
        <v>1427783.67</v>
      </c>
      <c r="I462" s="18"/>
      <c r="J462" s="18">
        <v>68194.899999999994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16367551.57</v>
      </c>
      <c r="G464" s="53">
        <f>SUM(G462:G463)</f>
        <v>501095.64</v>
      </c>
      <c r="H464" s="53">
        <f>SUM(H462:H463)</f>
        <v>1427783.67</v>
      </c>
      <c r="I464" s="53">
        <f>SUM(I462:I463)</f>
        <v>0</v>
      </c>
      <c r="J464" s="53">
        <f>SUM(J462:J463)</f>
        <v>68194.899999999994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681779.01999999955</v>
      </c>
      <c r="G466" s="53">
        <f>(G455+G460)- G464</f>
        <v>77308.12</v>
      </c>
      <c r="H466" s="53">
        <f>(H455+H460)- H464</f>
        <v>6276.4300000001676</v>
      </c>
      <c r="I466" s="53">
        <f>(I455+I460)- I464</f>
        <v>0</v>
      </c>
      <c r="J466" s="53">
        <f>(J455+J460)- J464</f>
        <v>837371.9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20</v>
      </c>
      <c r="I480" s="154">
        <v>15</v>
      </c>
      <c r="J480" s="154">
        <v>12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 t="s">
        <v>898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 t="s">
        <v>899</v>
      </c>
      <c r="H482" s="155" t="s">
        <v>900</v>
      </c>
      <c r="I482" s="155" t="s">
        <v>901</v>
      </c>
      <c r="J482" s="155" t="s">
        <v>902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5000000</v>
      </c>
      <c r="G483" s="18">
        <v>5000000</v>
      </c>
      <c r="H483" s="18">
        <v>1790000</v>
      </c>
      <c r="I483" s="18">
        <v>500000</v>
      </c>
      <c r="J483" s="18">
        <v>2100000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6.88</v>
      </c>
      <c r="G484" s="18">
        <v>6.88</v>
      </c>
      <c r="H484" s="18">
        <v>6.8</v>
      </c>
      <c r="I484" s="18">
        <v>5.63</v>
      </c>
      <c r="J484" s="18">
        <v>0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0</v>
      </c>
      <c r="G485" s="18">
        <v>0</v>
      </c>
      <c r="H485" s="18">
        <v>85000</v>
      </c>
      <c r="I485" s="18">
        <v>60000</v>
      </c>
      <c r="J485" s="18">
        <v>525000</v>
      </c>
      <c r="K485" s="53">
        <f>SUM(F485:J485)</f>
        <v>670000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>
        <v>0</v>
      </c>
      <c r="H487" s="18">
        <v>85000</v>
      </c>
      <c r="I487" s="18">
        <v>30000</v>
      </c>
      <c r="J487" s="18">
        <v>175000</v>
      </c>
      <c r="K487" s="53">
        <f t="shared" si="34"/>
        <v>290000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SUM(F485-F487)</f>
        <v>0</v>
      </c>
      <c r="G488" s="205">
        <f>SUM(G485-G487)</f>
        <v>0</v>
      </c>
      <c r="H488" s="205">
        <f>SUM(H485-H487)</f>
        <v>0</v>
      </c>
      <c r="I488" s="205">
        <f>SUM(I485-I487)</f>
        <v>30000</v>
      </c>
      <c r="J488" s="205">
        <f>SUM(J485-J487)</f>
        <v>350000</v>
      </c>
      <c r="K488" s="206">
        <f t="shared" si="34"/>
        <v>380000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0</v>
      </c>
      <c r="H489" s="18">
        <v>0</v>
      </c>
      <c r="I489" s="18">
        <v>863</v>
      </c>
      <c r="J489" s="18">
        <v>0</v>
      </c>
      <c r="K489" s="53">
        <f t="shared" si="34"/>
        <v>863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30863</v>
      </c>
      <c r="J490" s="42">
        <f>SUM(J488:J489)</f>
        <v>350000</v>
      </c>
      <c r="K490" s="42">
        <f t="shared" si="34"/>
        <v>380863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>
        <v>0</v>
      </c>
      <c r="H491" s="205">
        <v>0</v>
      </c>
      <c r="I491" s="205">
        <v>30000</v>
      </c>
      <c r="J491" s="205">
        <v>175000</v>
      </c>
      <c r="K491" s="206">
        <f t="shared" si="34"/>
        <v>205000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>
        <v>863</v>
      </c>
      <c r="J492" s="18">
        <v>0</v>
      </c>
      <c r="K492" s="53">
        <f t="shared" si="34"/>
        <v>863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30863</v>
      </c>
      <c r="J493" s="42">
        <f>SUM(J491:J492)</f>
        <v>175000</v>
      </c>
      <c r="K493" s="42">
        <f t="shared" si="34"/>
        <v>205863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895002.96</v>
      </c>
      <c r="G511" s="18">
        <v>449547.36</v>
      </c>
      <c r="H511" s="18">
        <v>89340.160000000003</v>
      </c>
      <c r="I511" s="18">
        <v>17402.080000000002</v>
      </c>
      <c r="J511" s="18">
        <v>5215.57</v>
      </c>
      <c r="K511" s="18">
        <v>219</v>
      </c>
      <c r="L511" s="88">
        <f>SUM(F511:K511)</f>
        <v>1456727.13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332462.46999999997</v>
      </c>
      <c r="G513" s="18">
        <v>154614.16</v>
      </c>
      <c r="H513" s="18">
        <v>303110.37</v>
      </c>
      <c r="I513" s="18">
        <v>2047.35</v>
      </c>
      <c r="J513" s="18">
        <v>2449.9699999999998</v>
      </c>
      <c r="K513" s="18">
        <v>0</v>
      </c>
      <c r="L513" s="88">
        <f>SUM(F513:K513)</f>
        <v>794684.32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1227465.43</v>
      </c>
      <c r="G514" s="108">
        <f t="shared" ref="G514:L514" si="35">SUM(G511:G513)</f>
        <v>604161.52</v>
      </c>
      <c r="H514" s="108">
        <f t="shared" si="35"/>
        <v>392450.53</v>
      </c>
      <c r="I514" s="108">
        <f t="shared" si="35"/>
        <v>19449.43</v>
      </c>
      <c r="J514" s="108">
        <f t="shared" si="35"/>
        <v>7665.5399999999991</v>
      </c>
      <c r="K514" s="108">
        <f t="shared" si="35"/>
        <v>219</v>
      </c>
      <c r="L514" s="89">
        <f t="shared" si="35"/>
        <v>2251411.4499999997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469951.51</v>
      </c>
      <c r="G516" s="18">
        <v>214094.01</v>
      </c>
      <c r="H516" s="18">
        <v>79733.09</v>
      </c>
      <c r="I516" s="18">
        <v>10790.5</v>
      </c>
      <c r="J516" s="18">
        <v>17739.7</v>
      </c>
      <c r="K516" s="18"/>
      <c r="L516" s="88">
        <f>SUM(F516:K516)</f>
        <v>792308.80999999994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103470.34</v>
      </c>
      <c r="G518" s="18">
        <v>48156.63</v>
      </c>
      <c r="H518" s="18">
        <v>39271.519999999997</v>
      </c>
      <c r="I518" s="18">
        <v>5267.17</v>
      </c>
      <c r="J518" s="18">
        <v>8737.4699999999993</v>
      </c>
      <c r="K518" s="18"/>
      <c r="L518" s="88">
        <f>SUM(F518:K518)</f>
        <v>204903.13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573421.85</v>
      </c>
      <c r="G519" s="89">
        <f t="shared" ref="G519:L519" si="36">SUM(G516:G518)</f>
        <v>262250.64</v>
      </c>
      <c r="H519" s="89">
        <f t="shared" si="36"/>
        <v>119004.60999999999</v>
      </c>
      <c r="I519" s="89">
        <f t="shared" si="36"/>
        <v>16057.67</v>
      </c>
      <c r="J519" s="89">
        <f t="shared" si="36"/>
        <v>26477.17</v>
      </c>
      <c r="K519" s="89">
        <f t="shared" si="36"/>
        <v>0</v>
      </c>
      <c r="L519" s="89">
        <f t="shared" si="36"/>
        <v>997211.94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123192.23</v>
      </c>
      <c r="G521" s="18">
        <v>50463.72</v>
      </c>
      <c r="H521" s="18">
        <v>3905.06</v>
      </c>
      <c r="I521" s="18">
        <v>703.17</v>
      </c>
      <c r="J521" s="18">
        <v>0</v>
      </c>
      <c r="K521" s="18">
        <v>4171.88</v>
      </c>
      <c r="L521" s="88">
        <f>SUM(F521:K521)</f>
        <v>182436.06000000003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66966.649999999994</v>
      </c>
      <c r="G523" s="18">
        <v>28843.279999999999</v>
      </c>
      <c r="H523" s="18">
        <v>843.39</v>
      </c>
      <c r="I523" s="18">
        <v>0</v>
      </c>
      <c r="J523" s="18">
        <v>0</v>
      </c>
      <c r="K523" s="18">
        <v>2054.81</v>
      </c>
      <c r="L523" s="88">
        <f>SUM(F523:K523)</f>
        <v>98708.12999999999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190158.88</v>
      </c>
      <c r="G524" s="89">
        <f t="shared" ref="G524:L524" si="37">SUM(G521:G523)</f>
        <v>79307</v>
      </c>
      <c r="H524" s="89">
        <f t="shared" si="37"/>
        <v>4748.45</v>
      </c>
      <c r="I524" s="89">
        <f t="shared" si="37"/>
        <v>703.17</v>
      </c>
      <c r="J524" s="89">
        <f t="shared" si="37"/>
        <v>0</v>
      </c>
      <c r="K524" s="89">
        <f t="shared" si="37"/>
        <v>6226.6900000000005</v>
      </c>
      <c r="L524" s="89">
        <f t="shared" si="37"/>
        <v>281144.19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12243.2</v>
      </c>
      <c r="G531" s="18">
        <v>1216</v>
      </c>
      <c r="H531" s="18">
        <v>69462.460000000006</v>
      </c>
      <c r="I531" s="18">
        <v>3239.68</v>
      </c>
      <c r="J531" s="18"/>
      <c r="K531" s="18"/>
      <c r="L531" s="88">
        <f>SUM(F531:K531)</f>
        <v>86161.34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6030.24</v>
      </c>
      <c r="G533" s="18">
        <v>598.91999999999996</v>
      </c>
      <c r="H533" s="18">
        <v>34212.86</v>
      </c>
      <c r="I533" s="18">
        <v>1595.66</v>
      </c>
      <c r="J533" s="18"/>
      <c r="K533" s="18"/>
      <c r="L533" s="88">
        <f>SUM(F533:K533)</f>
        <v>42437.680000000008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18273.440000000002</v>
      </c>
      <c r="G534" s="194">
        <f t="shared" ref="G534:L534" si="39">SUM(G531:G533)</f>
        <v>1814.92</v>
      </c>
      <c r="H534" s="194">
        <f t="shared" si="39"/>
        <v>103675.32</v>
      </c>
      <c r="I534" s="194">
        <f t="shared" si="39"/>
        <v>4835.34</v>
      </c>
      <c r="J534" s="194">
        <f t="shared" si="39"/>
        <v>0</v>
      </c>
      <c r="K534" s="194">
        <f t="shared" si="39"/>
        <v>0</v>
      </c>
      <c r="L534" s="194">
        <f t="shared" si="39"/>
        <v>128599.02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2009319.5999999996</v>
      </c>
      <c r="G535" s="89">
        <f t="shared" ref="G535:L535" si="40">G514+G519+G524+G529+G534</f>
        <v>947534.08000000007</v>
      </c>
      <c r="H535" s="89">
        <f t="shared" si="40"/>
        <v>619878.91</v>
      </c>
      <c r="I535" s="89">
        <f t="shared" si="40"/>
        <v>41045.61</v>
      </c>
      <c r="J535" s="89">
        <f t="shared" si="40"/>
        <v>34142.71</v>
      </c>
      <c r="K535" s="89">
        <f t="shared" si="40"/>
        <v>6445.6900000000005</v>
      </c>
      <c r="L535" s="89">
        <f t="shared" si="40"/>
        <v>3658366.5999999996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1456727.13</v>
      </c>
      <c r="G539" s="87">
        <f>L516</f>
        <v>792308.80999999994</v>
      </c>
      <c r="H539" s="87">
        <f>L521</f>
        <v>182436.06000000003</v>
      </c>
      <c r="I539" s="87">
        <f>L526</f>
        <v>0</v>
      </c>
      <c r="J539" s="87">
        <f>L531</f>
        <v>86161.34</v>
      </c>
      <c r="K539" s="87">
        <f>SUM(F539:J539)</f>
        <v>2517633.34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794684.32</v>
      </c>
      <c r="G541" s="87">
        <f>L518</f>
        <v>204903.13</v>
      </c>
      <c r="H541" s="87">
        <f>L523</f>
        <v>98708.12999999999</v>
      </c>
      <c r="I541" s="87">
        <f>L528</f>
        <v>0</v>
      </c>
      <c r="J541" s="87">
        <f>L533</f>
        <v>42437.680000000008</v>
      </c>
      <c r="K541" s="87">
        <f>SUM(F541:J541)</f>
        <v>1140733.2599999998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2251411.4499999997</v>
      </c>
      <c r="G542" s="89">
        <f t="shared" si="41"/>
        <v>997211.94</v>
      </c>
      <c r="H542" s="89">
        <f t="shared" si="41"/>
        <v>281144.19</v>
      </c>
      <c r="I542" s="89">
        <f t="shared" si="41"/>
        <v>0</v>
      </c>
      <c r="J542" s="89">
        <f t="shared" si="41"/>
        <v>128599.02</v>
      </c>
      <c r="K542" s="89">
        <f t="shared" si="41"/>
        <v>3658366.5999999996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23309.97</v>
      </c>
      <c r="G552" s="18">
        <v>16561.03</v>
      </c>
      <c r="H552" s="18">
        <v>303.54000000000002</v>
      </c>
      <c r="I552" s="18"/>
      <c r="J552" s="18"/>
      <c r="K552" s="18"/>
      <c r="L552" s="88">
        <f>SUM(F552:K552)</f>
        <v>40174.54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11481.03</v>
      </c>
      <c r="G554" s="18">
        <v>8156.93</v>
      </c>
      <c r="H554" s="18">
        <v>149.51</v>
      </c>
      <c r="I554" s="18"/>
      <c r="J554" s="18"/>
      <c r="K554" s="18"/>
      <c r="L554" s="88">
        <f>SUM(F554:K554)</f>
        <v>19787.469999999998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34791</v>
      </c>
      <c r="G555" s="89">
        <f t="shared" si="43"/>
        <v>24717.96</v>
      </c>
      <c r="H555" s="89">
        <f t="shared" si="43"/>
        <v>453.05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59962.009999999995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34791</v>
      </c>
      <c r="G561" s="89">
        <f t="shared" ref="G561:L561" si="45">G550+G555+G560</f>
        <v>24717.96</v>
      </c>
      <c r="H561" s="89">
        <f t="shared" si="45"/>
        <v>453.05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59962.009999999995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48237.14</v>
      </c>
      <c r="G572" s="18"/>
      <c r="H572" s="18">
        <v>173672.67</v>
      </c>
      <c r="I572" s="87">
        <f t="shared" si="46"/>
        <v>221909.81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128758.37</v>
      </c>
      <c r="I573" s="87">
        <f t="shared" si="46"/>
        <v>128758.37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29236.39</v>
      </c>
      <c r="I574" s="87">
        <f t="shared" si="46"/>
        <v>29236.39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393478.54</v>
      </c>
      <c r="I581" s="18"/>
      <c r="J581" s="18">
        <v>204413.9</v>
      </c>
      <c r="K581" s="104">
        <f t="shared" ref="K581:K587" si="47">SUM(H581:J581)</f>
        <v>597892.43999999994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86161.34</v>
      </c>
      <c r="I582" s="18"/>
      <c r="J582" s="18">
        <v>42437.68</v>
      </c>
      <c r="K582" s="104">
        <f t="shared" si="47"/>
        <v>128599.01999999999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33048</v>
      </c>
      <c r="K583" s="104">
        <f t="shared" si="47"/>
        <v>33048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19768.599999999999</v>
      </c>
      <c r="I584" s="18"/>
      <c r="J584" s="18">
        <v>67646.899999999994</v>
      </c>
      <c r="K584" s="104">
        <f t="shared" si="47"/>
        <v>87415.5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16569.150000000001</v>
      </c>
      <c r="I585" s="18"/>
      <c r="J585" s="18">
        <v>20540.45</v>
      </c>
      <c r="K585" s="104">
        <f t="shared" si="47"/>
        <v>37109.600000000006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 t="s">
        <v>310</v>
      </c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515977.63</v>
      </c>
      <c r="I588" s="108">
        <f>SUM(I581:I587)</f>
        <v>0</v>
      </c>
      <c r="J588" s="108">
        <f>SUM(J581:J587)</f>
        <v>368086.93</v>
      </c>
      <c r="K588" s="108">
        <f>SUM(K581:K587)</f>
        <v>884064.55999999994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146718.26</v>
      </c>
      <c r="I594" s="18"/>
      <c r="J594" s="18">
        <v>129549.05</v>
      </c>
      <c r="K594" s="104">
        <f>SUM(H594:J594)</f>
        <v>276267.31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146718.26</v>
      </c>
      <c r="I595" s="108">
        <f>SUM(I592:I594)</f>
        <v>0</v>
      </c>
      <c r="J595" s="108">
        <f>SUM(J592:J594)</f>
        <v>129549.05</v>
      </c>
      <c r="K595" s="108">
        <f>SUM(K592:K594)</f>
        <v>276267.31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6475</v>
      </c>
      <c r="G601" s="18">
        <v>747.05</v>
      </c>
      <c r="H601" s="18"/>
      <c r="I601" s="18"/>
      <c r="J601" s="18"/>
      <c r="K601" s="18"/>
      <c r="L601" s="88">
        <f>SUM(F601:K601)</f>
        <v>7222.05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8625</v>
      </c>
      <c r="G603" s="18">
        <v>916.45</v>
      </c>
      <c r="H603" s="18"/>
      <c r="I603" s="18"/>
      <c r="J603" s="18"/>
      <c r="K603" s="18"/>
      <c r="L603" s="88">
        <f>SUM(F603:K603)</f>
        <v>9541.4500000000007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15100</v>
      </c>
      <c r="G604" s="108">
        <f t="shared" si="48"/>
        <v>1663.5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16763.5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1036656.68</v>
      </c>
      <c r="H607" s="109">
        <f>SUM(F44)</f>
        <v>1036656.68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19858.080000000002</v>
      </c>
      <c r="H608" s="109">
        <f>SUM(G44)</f>
        <v>19858.079999999994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827059.49</v>
      </c>
      <c r="H609" s="109">
        <f>SUM(H44)</f>
        <v>827059.49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837371.9</v>
      </c>
      <c r="H611" s="109">
        <f>SUM(J44)</f>
        <v>837371.9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681779.02</v>
      </c>
      <c r="H612" s="109">
        <f>F466</f>
        <v>681779.01999999955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77308.12</v>
      </c>
      <c r="H613" s="109">
        <f>G466</f>
        <v>77308.12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6276.43</v>
      </c>
      <c r="H614" s="109">
        <f>H466</f>
        <v>6276.4300000001676</v>
      </c>
      <c r="I614" s="121" t="s">
        <v>110</v>
      </c>
      <c r="J614" s="109">
        <f t="shared" si="49"/>
        <v>-1.673470251262188E-10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837371.9</v>
      </c>
      <c r="H616" s="109">
        <f>J466</f>
        <v>837371.9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16890735.209999997</v>
      </c>
      <c r="H617" s="104">
        <f>SUM(F458)</f>
        <v>16890735.210000001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520539.89</v>
      </c>
      <c r="H618" s="104">
        <f>SUM(G458)</f>
        <v>520539.89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1426116.27</v>
      </c>
      <c r="H619" s="104">
        <f>SUM(H458)</f>
        <v>1426116.27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240866.66999999998</v>
      </c>
      <c r="H621" s="104">
        <f>SUM(J458)</f>
        <v>240866.67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16367551.57</v>
      </c>
      <c r="H622" s="104">
        <f>SUM(F462)</f>
        <v>16367551.57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1427783.6700000002</v>
      </c>
      <c r="H623" s="104">
        <f>SUM(H462)</f>
        <v>1427783.67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214694.09</v>
      </c>
      <c r="H624" s="104">
        <f>I361</f>
        <v>214694.09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501095.64</v>
      </c>
      <c r="H625" s="104">
        <f>SUM(G462)</f>
        <v>501095.64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240866.66999999998</v>
      </c>
      <c r="H627" s="164">
        <f>SUM(J458)</f>
        <v>240866.67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68194.899999999994</v>
      </c>
      <c r="H628" s="164">
        <f>SUM(J462)</f>
        <v>68194.899999999994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101879.09</v>
      </c>
      <c r="H629" s="104">
        <f>SUM(F451)</f>
        <v>101879.09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735492.81</v>
      </c>
      <c r="H630" s="104">
        <f>SUM(G451)</f>
        <v>735492.81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837371.9</v>
      </c>
      <c r="H632" s="104">
        <f>SUM(I451)</f>
        <v>837371.9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15385.21</v>
      </c>
      <c r="H634" s="104">
        <f>H400</f>
        <v>15385.210000000001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174405.36</v>
      </c>
      <c r="H635" s="104">
        <f>G400</f>
        <v>174405.36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240866.66999999998</v>
      </c>
      <c r="H636" s="104">
        <f>L400</f>
        <v>240866.66999999998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884064.55999999994</v>
      </c>
      <c r="H637" s="104">
        <f>L200+L218+L236</f>
        <v>884064.55999999994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276267.31</v>
      </c>
      <c r="H638" s="104">
        <f>(J249+J330)-(J247+J328)</f>
        <v>276267.31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515977.63</v>
      </c>
      <c r="H639" s="104">
        <f>H588</f>
        <v>515977.63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368086.92999999993</v>
      </c>
      <c r="H641" s="104">
        <f>J588</f>
        <v>368086.93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174405.36</v>
      </c>
      <c r="H645" s="104">
        <f>K258+K339</f>
        <v>174405.36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10866977.59</v>
      </c>
      <c r="G650" s="19">
        <f>(L221+L301+L351)</f>
        <v>0</v>
      </c>
      <c r="H650" s="19">
        <f>(L239+L320+L352)</f>
        <v>6850216.1699999999</v>
      </c>
      <c r="I650" s="19">
        <f>SUM(F650:H650)</f>
        <v>17717193.759999998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147331.97592510364</v>
      </c>
      <c r="G651" s="19">
        <f>(L351/IF(SUM(L350:L352)=0,1,SUM(L350:L352))*(SUM(G89:G102)))</f>
        <v>0</v>
      </c>
      <c r="H651" s="19">
        <f>(L352/IF(SUM(L350:L352)=0,1,SUM(L350:L352))*(SUM(G89:G102)))</f>
        <v>69546.244074896356</v>
      </c>
      <c r="I651" s="19">
        <f>SUM(F651:H651)</f>
        <v>216878.22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515977.63</v>
      </c>
      <c r="G652" s="19">
        <f>(L218+L298)-(J218+J298)</f>
        <v>0</v>
      </c>
      <c r="H652" s="19">
        <f>(L236+L317)-(J236+J317)</f>
        <v>368086.92999999993</v>
      </c>
      <c r="I652" s="19">
        <f>SUM(F652:H652)</f>
        <v>884064.55999999994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202177.45</v>
      </c>
      <c r="G653" s="200">
        <f>SUM(G565:G577)+SUM(I592:I594)+L602</f>
        <v>0</v>
      </c>
      <c r="H653" s="200">
        <f>SUM(H565:H577)+SUM(J592:J594)+L603</f>
        <v>470757.93000000005</v>
      </c>
      <c r="I653" s="19">
        <f>SUM(F653:H653)</f>
        <v>672935.38000000012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10001490.534074897</v>
      </c>
      <c r="G654" s="19">
        <f>G650-SUM(G651:G653)</f>
        <v>0</v>
      </c>
      <c r="H654" s="19">
        <f>H650-SUM(H651:H653)</f>
        <v>5941825.0659251036</v>
      </c>
      <c r="I654" s="19">
        <f>I650-SUM(I651:I653)</f>
        <v>15943315.599999998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796.91</v>
      </c>
      <c r="G655" s="249"/>
      <c r="H655" s="249">
        <v>420.82</v>
      </c>
      <c r="I655" s="19">
        <f>SUM(F655:H655)</f>
        <v>1217.73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12550.34</v>
      </c>
      <c r="G657" s="19" t="e">
        <f>ROUND(G654/G655,2)</f>
        <v>#DIV/0!</v>
      </c>
      <c r="H657" s="19">
        <f>ROUND(H654/H655,2)</f>
        <v>14119.64</v>
      </c>
      <c r="I657" s="19">
        <f>ROUND(I654/I655,2)</f>
        <v>13092.65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2.0699999999999998</v>
      </c>
      <c r="I660" s="19">
        <f>SUM(F660:H660)</f>
        <v>2.0699999999999998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12550.34</v>
      </c>
      <c r="G662" s="19" t="e">
        <f>ROUND((G654+G659)/(G655+G660),2)</f>
        <v>#DIV/0!</v>
      </c>
      <c r="H662" s="19">
        <f>ROUND((H654+H659)/(H655+H660),2)</f>
        <v>14050.52</v>
      </c>
      <c r="I662" s="19">
        <f>ROUND((I654+I659)/(I655+I660),2)</f>
        <v>13070.43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655A-AE4C-47D9-BB57-E41395CE360B}">
  <sheetPr>
    <tabColor indexed="20"/>
  </sheetPr>
  <dimension ref="A1:C52"/>
  <sheetViews>
    <sheetView workbookViewId="0">
      <selection activeCell="C46" sqref="C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Whtes Mountains Regional SD</v>
      </c>
      <c r="C1" s="239" t="s">
        <v>870</v>
      </c>
    </row>
    <row r="2" spans="1:3" x14ac:dyDescent="0.2">
      <c r="A2" s="234"/>
      <c r="B2" s="233"/>
    </row>
    <row r="3" spans="1:3" x14ac:dyDescent="0.2">
      <c r="A3" s="272" t="s">
        <v>815</v>
      </c>
      <c r="B3" s="272"/>
      <c r="C3" s="272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4" t="s">
        <v>813</v>
      </c>
      <c r="C7" s="275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3854199.2</v>
      </c>
      <c r="C9" s="230">
        <f>'DOE25'!G189+'DOE25'!G207+'DOE25'!G225+'DOE25'!G268+'DOE25'!G287+'DOE25'!G306</f>
        <v>1869676.95</v>
      </c>
    </row>
    <row r="10" spans="1:3" x14ac:dyDescent="0.2">
      <c r="A10" t="s">
        <v>810</v>
      </c>
      <c r="B10" s="241">
        <v>3496195.44</v>
      </c>
      <c r="C10" s="241">
        <v>1756080.07</v>
      </c>
    </row>
    <row r="11" spans="1:3" x14ac:dyDescent="0.2">
      <c r="A11" t="s">
        <v>811</v>
      </c>
      <c r="B11" s="241">
        <v>138374.39999999999</v>
      </c>
      <c r="C11" s="241">
        <v>64084.56</v>
      </c>
    </row>
    <row r="12" spans="1:3" x14ac:dyDescent="0.2">
      <c r="A12" t="s">
        <v>812</v>
      </c>
      <c r="B12" s="241">
        <v>219629.36</v>
      </c>
      <c r="C12" s="241">
        <v>49512.32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3854199.1999999997</v>
      </c>
      <c r="C13" s="232">
        <f>SUM(C10:C12)</f>
        <v>1869676.9500000002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4" t="s">
        <v>738</v>
      </c>
      <c r="C16" s="275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1476400.27</v>
      </c>
      <c r="C18" s="230">
        <f>'DOE25'!G190+'DOE25'!G208+'DOE25'!G226+'DOE25'!G269+'DOE25'!G288+'DOE25'!G307</f>
        <v>732652.28</v>
      </c>
    </row>
    <row r="19" spans="1:3" x14ac:dyDescent="0.2">
      <c r="A19" t="s">
        <v>810</v>
      </c>
      <c r="B19" s="241">
        <v>890703.04</v>
      </c>
      <c r="C19" s="241">
        <v>445306.63</v>
      </c>
    </row>
    <row r="20" spans="1:3" x14ac:dyDescent="0.2">
      <c r="A20" t="s">
        <v>811</v>
      </c>
      <c r="B20" s="241">
        <v>553892.98</v>
      </c>
      <c r="C20" s="241">
        <v>263190.44</v>
      </c>
    </row>
    <row r="21" spans="1:3" x14ac:dyDescent="0.2">
      <c r="A21" t="s">
        <v>812</v>
      </c>
      <c r="B21" s="241">
        <v>31804.25</v>
      </c>
      <c r="C21" s="241">
        <v>24155.21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1476400.27</v>
      </c>
      <c r="C22" s="232">
        <f>SUM(C19:C21)</f>
        <v>732652.28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4" t="s">
        <v>739</v>
      </c>
      <c r="C25" s="275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368027</v>
      </c>
      <c r="C27" s="235">
        <f>'DOE25'!G191+'DOE25'!G209+'DOE25'!G227+'DOE25'!G270+'DOE25'!G289+'DOE25'!G308</f>
        <v>183019.13</v>
      </c>
    </row>
    <row r="28" spans="1:3" x14ac:dyDescent="0.2">
      <c r="A28" t="s">
        <v>810</v>
      </c>
      <c r="B28" s="241">
        <v>300926</v>
      </c>
      <c r="C28" s="241">
        <v>157395.35</v>
      </c>
    </row>
    <row r="29" spans="1:3" x14ac:dyDescent="0.2">
      <c r="A29" t="s">
        <v>811</v>
      </c>
      <c r="B29" s="241">
        <v>67101</v>
      </c>
      <c r="C29" s="241">
        <v>0</v>
      </c>
    </row>
    <row r="30" spans="1:3" x14ac:dyDescent="0.2">
      <c r="A30" t="s">
        <v>812</v>
      </c>
      <c r="B30" s="241"/>
      <c r="C30" s="241">
        <v>25623.78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368027</v>
      </c>
      <c r="C31" s="232">
        <f>SUM(C28:C30)</f>
        <v>183019.13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4" t="s">
        <v>740</v>
      </c>
      <c r="C34" s="275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275150.58</v>
      </c>
      <c r="C36" s="236">
        <f>'DOE25'!G192+'DOE25'!G210+'DOE25'!G228+'DOE25'!G271+'DOE25'!G290+'DOE25'!G309</f>
        <v>50891.63</v>
      </c>
    </row>
    <row r="37" spans="1:3" x14ac:dyDescent="0.2">
      <c r="A37" t="s">
        <v>810</v>
      </c>
      <c r="B37" s="241">
        <v>81969.179999999993</v>
      </c>
      <c r="C37" s="241">
        <v>29410.18</v>
      </c>
    </row>
    <row r="38" spans="1:3" x14ac:dyDescent="0.2">
      <c r="A38" t="s">
        <v>811</v>
      </c>
      <c r="B38" s="241">
        <v>1400</v>
      </c>
      <c r="C38" s="241">
        <v>86.8</v>
      </c>
    </row>
    <row r="39" spans="1:3" x14ac:dyDescent="0.2">
      <c r="A39" t="s">
        <v>812</v>
      </c>
      <c r="B39" s="241">
        <v>191781.4</v>
      </c>
      <c r="C39" s="241">
        <v>21394.65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275150.57999999996</v>
      </c>
      <c r="C40" s="232">
        <f>SUM(C37:C39)</f>
        <v>50891.630000000005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DDDD-A3D8-4D15-8AF2-E554EEDA7896}">
  <sheetPr>
    <tabColor indexed="11"/>
  </sheetPr>
  <dimension ref="A1:I51"/>
  <sheetViews>
    <sheetView workbookViewId="0">
      <pane ySplit="4" topLeftCell="A13" activePane="bottomLeft" state="frozen"/>
      <selection pane="bottomLeft" activeCell="D29" sqref="D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Whtes Mountains Regional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9299820.6099999994</v>
      </c>
      <c r="D5" s="20">
        <f>SUM('DOE25'!L189:L192)+SUM('DOE25'!L207:L210)+SUM('DOE25'!L225:L228)-F5-G5</f>
        <v>9109638.0799999982</v>
      </c>
      <c r="E5" s="244"/>
      <c r="F5" s="256">
        <f>SUM('DOE25'!J189:J192)+SUM('DOE25'!J207:J210)+SUM('DOE25'!J225:J228)</f>
        <v>172674.97999999998</v>
      </c>
      <c r="G5" s="53">
        <f>SUM('DOE25'!K189:K192)+SUM('DOE25'!K207:K210)+SUM('DOE25'!K225:K228)</f>
        <v>17507.55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1161349.1400000001</v>
      </c>
      <c r="D6" s="20">
        <f>'DOE25'!L194+'DOE25'!L212+'DOE25'!L230-F6-G6</f>
        <v>1160971.6400000001</v>
      </c>
      <c r="E6" s="244"/>
      <c r="F6" s="256">
        <f>'DOE25'!J194+'DOE25'!J212+'DOE25'!J230</f>
        <v>377.5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428492.28</v>
      </c>
      <c r="D7" s="20">
        <f>'DOE25'!L195+'DOE25'!L213+'DOE25'!L231-F7-G7</f>
        <v>419208.63</v>
      </c>
      <c r="E7" s="244"/>
      <c r="F7" s="256">
        <f>'DOE25'!J195+'DOE25'!J213+'DOE25'!J231</f>
        <v>1758.65</v>
      </c>
      <c r="G7" s="53">
        <f>'DOE25'!K195+'DOE25'!K213+'DOE25'!K231</f>
        <v>7525</v>
      </c>
      <c r="H7" s="260"/>
    </row>
    <row r="8" spans="1:9" x14ac:dyDescent="0.2">
      <c r="A8" s="32">
        <v>2300</v>
      </c>
      <c r="B8" t="s">
        <v>833</v>
      </c>
      <c r="C8" s="246">
        <f t="shared" si="0"/>
        <v>618883.06000000006</v>
      </c>
      <c r="D8" s="244"/>
      <c r="E8" s="20">
        <f>'DOE25'!L196+'DOE25'!L214+'DOE25'!L232-F8-G8-D9-D11</f>
        <v>582497.33000000007</v>
      </c>
      <c r="F8" s="256">
        <f>'DOE25'!J196+'DOE25'!J214+'DOE25'!J232</f>
        <v>1090.79</v>
      </c>
      <c r="G8" s="53">
        <f>'DOE25'!K196+'DOE25'!K214+'DOE25'!K232</f>
        <v>35294.94</v>
      </c>
      <c r="H8" s="260"/>
    </row>
    <row r="9" spans="1:9" x14ac:dyDescent="0.2">
      <c r="A9" s="32">
        <v>2310</v>
      </c>
      <c r="B9" t="s">
        <v>849</v>
      </c>
      <c r="C9" s="246">
        <f t="shared" si="0"/>
        <v>108639.67</v>
      </c>
      <c r="D9" s="245">
        <v>108639.67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8500</v>
      </c>
      <c r="D10" s="244"/>
      <c r="E10" s="245">
        <v>8500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240364.3</v>
      </c>
      <c r="D11" s="245">
        <v>240364.3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1101828.1599999999</v>
      </c>
      <c r="D12" s="20">
        <f>'DOE25'!L197+'DOE25'!L215+'DOE25'!L233-F12-G12</f>
        <v>1069844.19</v>
      </c>
      <c r="E12" s="244"/>
      <c r="F12" s="256">
        <f>'DOE25'!J197+'DOE25'!J215+'DOE25'!J233</f>
        <v>260</v>
      </c>
      <c r="G12" s="53">
        <f>'DOE25'!K197+'DOE25'!K215+'DOE25'!K233</f>
        <v>31723.97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177065.17</v>
      </c>
      <c r="D13" s="244"/>
      <c r="E13" s="20">
        <f>'DOE25'!L198+'DOE25'!L216+'DOE25'!L234-F13-G13</f>
        <v>177065.17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1786590.7599999998</v>
      </c>
      <c r="D14" s="20">
        <f>'DOE25'!L199+'DOE25'!L217+'DOE25'!L235-F14-G14</f>
        <v>1759504.8399999999</v>
      </c>
      <c r="E14" s="244"/>
      <c r="F14" s="256">
        <f>'DOE25'!J199+'DOE25'!J217+'DOE25'!J235</f>
        <v>27085.919999999998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884064.55999999994</v>
      </c>
      <c r="D15" s="20">
        <f>'DOE25'!L200+'DOE25'!L218+'DOE25'!L236-F15-G15</f>
        <v>884064.55999999994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481</v>
      </c>
      <c r="D16" s="244"/>
      <c r="E16" s="20">
        <f>'DOE25'!L201+'DOE25'!L219+'DOE25'!L237-F16-G16</f>
        <v>481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298367.5</v>
      </c>
      <c r="D25" s="244"/>
      <c r="E25" s="244"/>
      <c r="F25" s="259"/>
      <c r="G25" s="257"/>
      <c r="H25" s="258">
        <f>'DOE25'!L252+'DOE25'!L253+'DOE25'!L333+'DOE25'!L334</f>
        <v>298367.5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303999.83</v>
      </c>
      <c r="D29" s="20">
        <f>'DOE25'!L350+'DOE25'!L351+'DOE25'!L352-'DOE25'!I359-F29-G29</f>
        <v>300029.66000000003</v>
      </c>
      <c r="E29" s="244"/>
      <c r="F29" s="256">
        <f>'DOE25'!J350+'DOE25'!J351+'DOE25'!J352</f>
        <v>269.97000000000003</v>
      </c>
      <c r="G29" s="53">
        <f>'DOE25'!K350+'DOE25'!K351+'DOE25'!K352</f>
        <v>3700.2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1408519.4100000001</v>
      </c>
      <c r="D31" s="20">
        <f>'DOE25'!L282+'DOE25'!L301+'DOE25'!L320+'DOE25'!L325+'DOE25'!L326+'DOE25'!L327-F31-G31</f>
        <v>1325245.1100000001</v>
      </c>
      <c r="E31" s="244"/>
      <c r="F31" s="256">
        <f>'DOE25'!J282+'DOE25'!J301+'DOE25'!J320+'DOE25'!J325+'DOE25'!J326+'DOE25'!J327</f>
        <v>73019.47</v>
      </c>
      <c r="G31" s="53">
        <f>'DOE25'!K282+'DOE25'!K301+'DOE25'!K320+'DOE25'!K325+'DOE25'!K326+'DOE25'!K327</f>
        <v>10254.830000000002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16377510.68</v>
      </c>
      <c r="E33" s="247">
        <f>SUM(E5:E31)</f>
        <v>768543.50000000012</v>
      </c>
      <c r="F33" s="247">
        <f>SUM(F5:F31)</f>
        <v>276537.27999999997</v>
      </c>
      <c r="G33" s="247">
        <f>SUM(G5:G31)</f>
        <v>106006.49</v>
      </c>
      <c r="H33" s="247">
        <f>SUM(H5:H31)</f>
        <v>298367.5</v>
      </c>
    </row>
    <row r="35" spans="2:8" ht="12" thickBot="1" x14ac:dyDescent="0.25">
      <c r="B35" s="254" t="s">
        <v>878</v>
      </c>
      <c r="D35" s="255">
        <f>E33</f>
        <v>768543.50000000012</v>
      </c>
      <c r="E35" s="250"/>
    </row>
    <row r="36" spans="2:8" ht="12" thickTop="1" x14ac:dyDescent="0.2">
      <c r="B36" t="s">
        <v>846</v>
      </c>
      <c r="D36" s="20">
        <f>D33</f>
        <v>16377510.68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107B-739D-40EB-9689-A0660B564DAB}">
  <sheetPr transitionEvaluation="1" codeName="Sheet2">
    <tabColor indexed="10"/>
  </sheetPr>
  <dimension ref="A1:I156"/>
  <sheetViews>
    <sheetView zoomScale="75" workbookViewId="0">
      <pane ySplit="2" topLeftCell="A9" activePane="bottomLeft" state="frozen"/>
      <selection pane="bottomLeft" activeCell="C38" sqref="C3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Whtes Mountains Regional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822963.21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4021.29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56771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112155.13</v>
      </c>
      <c r="D13" s="95">
        <f>'DOE25'!G13</f>
        <v>19858.080000000002</v>
      </c>
      <c r="E13" s="95">
        <f>'DOE25'!H13</f>
        <v>827059.49</v>
      </c>
      <c r="F13" s="95">
        <f>'DOE25'!I13</f>
        <v>0</v>
      </c>
      <c r="G13" s="95">
        <f>'DOE25'!J13</f>
        <v>837371.9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29173.55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11572.5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1036656.68</v>
      </c>
      <c r="D19" s="41">
        <f>SUM(D9:D18)</f>
        <v>19858.080000000002</v>
      </c>
      <c r="E19" s="41">
        <f>SUM(E9:E18)</f>
        <v>827059.49</v>
      </c>
      <c r="F19" s="41">
        <f>SUM(F9:F18)</f>
        <v>0</v>
      </c>
      <c r="G19" s="41">
        <f>SUM(G9:G18)</f>
        <v>837371.9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-741447.91</v>
      </c>
      <c r="D22" s="95">
        <f>'DOE25'!G23</f>
        <v>-57450.04</v>
      </c>
      <c r="E22" s="95">
        <f>'DOE25'!H23</f>
        <v>798897.95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20000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1076130.57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195</v>
      </c>
      <c r="D29" s="95">
        <f>'DOE25'!G30</f>
        <v>0</v>
      </c>
      <c r="E29" s="95">
        <f>'DOE25'!H30</f>
        <v>0.27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21884.84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354877.66000000003</v>
      </c>
      <c r="D32" s="41">
        <f>SUM(D22:D31)</f>
        <v>-57450.04</v>
      </c>
      <c r="E32" s="41">
        <f>SUM(E22:E31)</f>
        <v>820783.05999999994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63802.03</v>
      </c>
      <c r="D36" s="95">
        <f>'DOE25'!G37</f>
        <v>0</v>
      </c>
      <c r="E36" s="95">
        <f>'DOE25'!H37</f>
        <v>3120.94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215000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77308.12</v>
      </c>
      <c r="E40" s="95">
        <f>'DOE25'!H41</f>
        <v>3155.49</v>
      </c>
      <c r="F40" s="95">
        <f>'DOE25'!I41</f>
        <v>0</v>
      </c>
      <c r="G40" s="95">
        <f>'DOE25'!J41</f>
        <v>837371.9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402976.99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681779.02</v>
      </c>
      <c r="D42" s="41">
        <f>SUM(D34:D41)</f>
        <v>77308.12</v>
      </c>
      <c r="E42" s="41">
        <f>SUM(E34:E41)</f>
        <v>6276.43</v>
      </c>
      <c r="F42" s="41">
        <f>SUM(F34:F41)</f>
        <v>0</v>
      </c>
      <c r="G42" s="41">
        <f>SUM(G34:G41)</f>
        <v>837371.9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1036656.68</v>
      </c>
      <c r="D43" s="41">
        <f>D42+D32</f>
        <v>19858.079999999994</v>
      </c>
      <c r="E43" s="41">
        <f>E42+E32</f>
        <v>827059.49</v>
      </c>
      <c r="F43" s="41">
        <f>F42+F32</f>
        <v>0</v>
      </c>
      <c r="G43" s="41">
        <f>G42+G32</f>
        <v>837371.9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6439389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612481.26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1872.74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15385.21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216878.22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50371.24</v>
      </c>
      <c r="D53" s="95">
        <f>SUM('DOE25'!G90:G102)</f>
        <v>0</v>
      </c>
      <c r="E53" s="95">
        <f>SUM('DOE25'!H90:H102)</f>
        <v>59222.78</v>
      </c>
      <c r="F53" s="95">
        <f>SUM('DOE25'!I90:I102)</f>
        <v>0</v>
      </c>
      <c r="G53" s="95">
        <f>SUM('DOE25'!J90:J102)</f>
        <v>51076.1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664725.24</v>
      </c>
      <c r="D54" s="130">
        <f>SUM(D49:D53)</f>
        <v>216878.22</v>
      </c>
      <c r="E54" s="130">
        <f>SUM(E49:E53)</f>
        <v>59222.78</v>
      </c>
      <c r="F54" s="130">
        <f>SUM(F49:F53)</f>
        <v>0</v>
      </c>
      <c r="G54" s="130">
        <f>SUM(G49:G53)</f>
        <v>66461.31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7104114.2400000002</v>
      </c>
      <c r="D55" s="22">
        <f>D48+D54</f>
        <v>216878.22</v>
      </c>
      <c r="E55" s="22">
        <f>E48+E54</f>
        <v>59222.78</v>
      </c>
      <c r="F55" s="22">
        <f>F48+F54</f>
        <v>0</v>
      </c>
      <c r="G55" s="22">
        <f>G48+G54</f>
        <v>66461.31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6518943.75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2347475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236440.25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9102859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371842.96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127856.16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86210.040000000008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5536.77</v>
      </c>
      <c r="E69" s="95">
        <f>SUM('DOE25'!H123:H127)</f>
        <v>3826.58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585909.16</v>
      </c>
      <c r="D70" s="130">
        <f>SUM(D64:D69)</f>
        <v>5536.77</v>
      </c>
      <c r="E70" s="130">
        <f>SUM(E64:E69)</f>
        <v>3826.58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9688768.1600000001</v>
      </c>
      <c r="D73" s="130">
        <f>SUM(D71:D72)+D70+D62</f>
        <v>5536.77</v>
      </c>
      <c r="E73" s="130">
        <f>SUM(E71:E72)+E70+E62</f>
        <v>3826.58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68433.2</v>
      </c>
      <c r="D80" s="95">
        <f>SUM('DOE25'!G145:G153)</f>
        <v>298124.90000000002</v>
      </c>
      <c r="E80" s="95">
        <f>SUM('DOE25'!H145:H153)</f>
        <v>1363066.91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29419.61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97852.81</v>
      </c>
      <c r="D83" s="131">
        <f>SUM(D77:D82)</f>
        <v>298124.90000000002</v>
      </c>
      <c r="E83" s="131">
        <f>SUM(E77:E82)</f>
        <v>1363066.91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174405.36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174405.36</v>
      </c>
    </row>
    <row r="96" spans="1:7" ht="12.75" thickTop="1" thickBot="1" x14ac:dyDescent="0.25">
      <c r="A96" s="33" t="s">
        <v>796</v>
      </c>
      <c r="C96" s="86">
        <f>C55+C73+C83+C95</f>
        <v>16890735.209999997</v>
      </c>
      <c r="D96" s="86">
        <f>D55+D73+D83+D95</f>
        <v>520539.89</v>
      </c>
      <c r="E96" s="86">
        <f>E55+E73+E83+E95</f>
        <v>1426116.27</v>
      </c>
      <c r="F96" s="86">
        <f>F55+F73+F83+F95</f>
        <v>0</v>
      </c>
      <c r="G96" s="86">
        <f>G55+G73+G95</f>
        <v>240866.66999999998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6167175.5899999989</v>
      </c>
      <c r="D101" s="24" t="s">
        <v>312</v>
      </c>
      <c r="E101" s="95">
        <f>('DOE25'!L268)+('DOE25'!L287)+('DOE25'!L306)</f>
        <v>103181.84000000001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2186027.8600000003</v>
      </c>
      <c r="D102" s="24" t="s">
        <v>312</v>
      </c>
      <c r="E102" s="95">
        <f>('DOE25'!L269)+('DOE25'!L288)+('DOE25'!L307)</f>
        <v>438959.66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537873.42999999993</v>
      </c>
      <c r="D103" s="24" t="s">
        <v>312</v>
      </c>
      <c r="E103" s="95">
        <f>('DOE25'!L270)+('DOE25'!L289)+('DOE25'!L308)</f>
        <v>155449.30000000002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408743.73</v>
      </c>
      <c r="D104" s="24" t="s">
        <v>312</v>
      </c>
      <c r="E104" s="95">
        <f>+('DOE25'!L271)+('DOE25'!L290)+('DOE25'!L309)</f>
        <v>4611.1399999999994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9299820.6099999994</v>
      </c>
      <c r="D107" s="86">
        <f>SUM(D101:D106)</f>
        <v>0</v>
      </c>
      <c r="E107" s="86">
        <f>SUM(E101:E106)</f>
        <v>702201.94000000006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1161349.1400000001</v>
      </c>
      <c r="D110" s="24" t="s">
        <v>312</v>
      </c>
      <c r="E110" s="95">
        <f>+('DOE25'!L273)+('DOE25'!L292)+('DOE25'!L311)</f>
        <v>388780.11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428492.28</v>
      </c>
      <c r="D111" s="24" t="s">
        <v>312</v>
      </c>
      <c r="E111" s="95">
        <f>+('DOE25'!L274)+('DOE25'!L293)+('DOE25'!L312)</f>
        <v>191892.96000000002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967887.03</v>
      </c>
      <c r="D112" s="24" t="s">
        <v>312</v>
      </c>
      <c r="E112" s="95">
        <f>+('DOE25'!L275)+('DOE25'!L294)+('DOE25'!L313)</f>
        <v>85426.86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1101828.1599999999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177065.17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1786590.7599999998</v>
      </c>
      <c r="D115" s="24" t="s">
        <v>312</v>
      </c>
      <c r="E115" s="95">
        <f>+('DOE25'!L278)+('DOE25'!L297)+('DOE25'!L316)</f>
        <v>22500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884064.55999999994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481</v>
      </c>
      <c r="D117" s="24" t="s">
        <v>312</v>
      </c>
      <c r="E117" s="95">
        <f>+('DOE25'!L280)+('DOE25'!L299)+('DOE25'!L318)</f>
        <v>17717.54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501095.64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6507758.0999999996</v>
      </c>
      <c r="D120" s="86">
        <f>SUM(D110:D119)</f>
        <v>501095.64</v>
      </c>
      <c r="E120" s="86">
        <f>SUM(E110:E119)</f>
        <v>706317.47000000009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8367.5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19264.259999999998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49500.21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191366.46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-66461.31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87200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559972.8600000001</v>
      </c>
      <c r="D136" s="141">
        <f>SUM(D122:D135)</f>
        <v>0</v>
      </c>
      <c r="E136" s="141">
        <f>SUM(E122:E135)</f>
        <v>19264.259999999998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16367551.569999998</v>
      </c>
      <c r="D137" s="86">
        <f>(D107+D120+D136)</f>
        <v>501095.64</v>
      </c>
      <c r="E137" s="86">
        <f>(E107+E120+E136)</f>
        <v>1427783.6700000002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20</v>
      </c>
      <c r="E143" s="153">
        <f>'DOE25'!I480</f>
        <v>15</v>
      </c>
      <c r="F143" s="153">
        <f>'DOE25'!J480</f>
        <v>12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12/89</v>
      </c>
      <c r="C144" s="152" t="str">
        <f>'DOE25'!G481</f>
        <v>1/90</v>
      </c>
      <c r="D144" s="152" t="str">
        <f>'DOE25'!H481</f>
        <v>1/91</v>
      </c>
      <c r="E144" s="152" t="str">
        <f>'DOE25'!I481</f>
        <v>8/96</v>
      </c>
      <c r="F144" s="152" t="str">
        <f>'DOE25'!J481</f>
        <v>10/00</v>
      </c>
      <c r="G144" s="24" t="s">
        <v>312</v>
      </c>
    </row>
    <row r="145" spans="1:7" x14ac:dyDescent="0.2">
      <c r="A145" s="136" t="s">
        <v>29</v>
      </c>
      <c r="B145" s="152" t="str">
        <f>'DOE25'!F482</f>
        <v>1/2010</v>
      </c>
      <c r="C145" s="152" t="str">
        <f>'DOE25'!G482</f>
        <v>1/2010</v>
      </c>
      <c r="D145" s="152" t="str">
        <f>'DOE25'!H482</f>
        <v>1/2011</v>
      </c>
      <c r="E145" s="152" t="str">
        <f>'DOE25'!I482</f>
        <v>8/2011</v>
      </c>
      <c r="F145" s="152" t="str">
        <f>'DOE25'!J482</f>
        <v>10/2012</v>
      </c>
      <c r="G145" s="24" t="s">
        <v>312</v>
      </c>
    </row>
    <row r="146" spans="1:7" x14ac:dyDescent="0.2">
      <c r="A146" s="136" t="s">
        <v>30</v>
      </c>
      <c r="B146" s="137">
        <f>'DOE25'!F483</f>
        <v>5000000</v>
      </c>
      <c r="C146" s="137">
        <f>'DOE25'!G483</f>
        <v>5000000</v>
      </c>
      <c r="D146" s="137">
        <f>'DOE25'!H483</f>
        <v>1790000</v>
      </c>
      <c r="E146" s="137">
        <f>'DOE25'!I483</f>
        <v>500000</v>
      </c>
      <c r="F146" s="137">
        <f>'DOE25'!J483</f>
        <v>2100000</v>
      </c>
      <c r="G146" s="24" t="s">
        <v>312</v>
      </c>
    </row>
    <row r="147" spans="1:7" x14ac:dyDescent="0.2">
      <c r="A147" s="136" t="s">
        <v>31</v>
      </c>
      <c r="B147" s="137">
        <f>'DOE25'!F484</f>
        <v>6.88</v>
      </c>
      <c r="C147" s="137">
        <f>'DOE25'!G484</f>
        <v>6.88</v>
      </c>
      <c r="D147" s="137">
        <f>'DOE25'!H484</f>
        <v>6.8</v>
      </c>
      <c r="E147" s="137">
        <f>'DOE25'!I484</f>
        <v>5.63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85000</v>
      </c>
      <c r="E148" s="137">
        <f>'DOE25'!I485</f>
        <v>60000</v>
      </c>
      <c r="F148" s="137">
        <f>'DOE25'!J485</f>
        <v>525000</v>
      </c>
      <c r="G148" s="138">
        <f>SUM(B148:F148)</f>
        <v>670000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85000</v>
      </c>
      <c r="E150" s="137">
        <f>'DOE25'!I487</f>
        <v>30000</v>
      </c>
      <c r="F150" s="137">
        <f>'DOE25'!J487</f>
        <v>175000</v>
      </c>
      <c r="G150" s="138">
        <f t="shared" si="0"/>
        <v>290000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30000</v>
      </c>
      <c r="F151" s="137">
        <f>'DOE25'!J488</f>
        <v>350000</v>
      </c>
      <c r="G151" s="138">
        <f t="shared" si="0"/>
        <v>380000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863</v>
      </c>
      <c r="F152" s="137">
        <f>'DOE25'!J489</f>
        <v>0</v>
      </c>
      <c r="G152" s="138">
        <f t="shared" si="0"/>
        <v>863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30863</v>
      </c>
      <c r="F153" s="137">
        <f>'DOE25'!J490</f>
        <v>350000</v>
      </c>
      <c r="G153" s="138">
        <f t="shared" si="0"/>
        <v>380863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30000</v>
      </c>
      <c r="F154" s="137">
        <f>'DOE25'!J491</f>
        <v>175000</v>
      </c>
      <c r="G154" s="138">
        <f t="shared" si="0"/>
        <v>205000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863</v>
      </c>
      <c r="F155" s="137">
        <f>'DOE25'!J492</f>
        <v>0</v>
      </c>
      <c r="G155" s="138">
        <f t="shared" si="0"/>
        <v>863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30863</v>
      </c>
      <c r="F156" s="137">
        <f>'DOE25'!J493</f>
        <v>175000</v>
      </c>
      <c r="G156" s="138">
        <f t="shared" si="0"/>
        <v>205863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770C-1580-4222-B7CB-8B18142E601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Whtes Mountains Regional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12550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14051</v>
      </c>
    </row>
    <row r="7" spans="1:4" x14ac:dyDescent="0.2">
      <c r="B7" t="s">
        <v>736</v>
      </c>
      <c r="C7" s="179">
        <f>IF('DOE25'!I655+'DOE25'!I660=0,0,ROUND('DOE25'!I662,0))</f>
        <v>13070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6270357</v>
      </c>
      <c r="D10" s="182">
        <f>ROUND((C10/$C$28)*100,1)</f>
        <v>35.6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2624988</v>
      </c>
      <c r="D11" s="182">
        <f>ROUND((C11/$C$28)*100,1)</f>
        <v>14.9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693323</v>
      </c>
      <c r="D12" s="182">
        <f>ROUND((C12/$C$28)*100,1)</f>
        <v>3.9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413355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1550129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620385</v>
      </c>
      <c r="D16" s="182">
        <f t="shared" si="0"/>
        <v>3.5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1071512</v>
      </c>
      <c r="D17" s="182">
        <f t="shared" si="0"/>
        <v>6.1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1101828</v>
      </c>
      <c r="D18" s="182">
        <f t="shared" si="0"/>
        <v>6.3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177065</v>
      </c>
      <c r="D19" s="182">
        <f t="shared" si="0"/>
        <v>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1809091</v>
      </c>
      <c r="D20" s="182">
        <f t="shared" si="0"/>
        <v>10.3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884065</v>
      </c>
      <c r="D21" s="182">
        <f t="shared" si="0"/>
        <v>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8368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87200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284217.78000000003</v>
      </c>
      <c r="D27" s="182">
        <f t="shared" si="0"/>
        <v>1.6</v>
      </c>
    </row>
    <row r="28" spans="1:4" x14ac:dyDescent="0.2">
      <c r="B28" s="187" t="s">
        <v>754</v>
      </c>
      <c r="C28" s="180">
        <f>SUM(C10:C27)</f>
        <v>17595883.780000001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17595883.780000001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6439389</v>
      </c>
      <c r="D35" s="182">
        <f t="shared" ref="D35:D40" si="1">ROUND((C35/$C$41)*100,1)</f>
        <v>34.5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790409.33000000007</v>
      </c>
      <c r="D36" s="182">
        <f t="shared" si="1"/>
        <v>4.2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9102859</v>
      </c>
      <c r="D37" s="182">
        <f t="shared" si="1"/>
        <v>48.7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595273</v>
      </c>
      <c r="D38" s="182">
        <f t="shared" si="1"/>
        <v>3.2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1759045</v>
      </c>
      <c r="D39" s="182">
        <f t="shared" si="1"/>
        <v>9.4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18686975.329999998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06BD-6ED8-4EAF-920A-D685DDC72558}">
  <sheetPr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Whtes Mountains Regional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</v>
      </c>
      <c r="B4" s="220">
        <v>17</v>
      </c>
      <c r="C4" s="281" t="s">
        <v>903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4</v>
      </c>
      <c r="B6" s="220">
        <v>10</v>
      </c>
      <c r="C6" s="281" t="s">
        <v>904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 t="s">
        <v>905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 t="s">
        <v>907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 t="s">
        <v>906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2011-10-06T16:00:21Z</cp:lastPrinted>
  <dcterms:created xsi:type="dcterms:W3CDTF">1997-12-04T19:04:30Z</dcterms:created>
  <dcterms:modified xsi:type="dcterms:W3CDTF">2025-01-16T15:39:10Z</dcterms:modified>
</cp:coreProperties>
</file>