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39881A0-CE13-496D-B476-BBB0BDFF3FDC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4F018022-1F89-408F-803C-B2C2814AD57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28" i="1"/>
  <c r="F132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C38" i="10"/>
  <c r="C37" i="10"/>
  <c r="C60" i="2"/>
  <c r="B2" i="13"/>
  <c r="F8" i="13"/>
  <c r="G8" i="13"/>
  <c r="L196" i="1"/>
  <c r="L214" i="1"/>
  <c r="L232" i="1"/>
  <c r="E8" i="13"/>
  <c r="D39" i="13"/>
  <c r="F13" i="13"/>
  <c r="G13" i="13"/>
  <c r="L198" i="1"/>
  <c r="L216" i="1"/>
  <c r="L234" i="1"/>
  <c r="E13" i="13"/>
  <c r="F16" i="13"/>
  <c r="G16" i="13"/>
  <c r="L201" i="1"/>
  <c r="L219" i="1"/>
  <c r="L237" i="1"/>
  <c r="E16" i="13"/>
  <c r="C16" i="13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D5" i="13"/>
  <c r="F6" i="13"/>
  <c r="G6" i="13"/>
  <c r="L194" i="1"/>
  <c r="L212" i="1"/>
  <c r="L230" i="1"/>
  <c r="D6" i="13"/>
  <c r="F7" i="13"/>
  <c r="G7" i="13"/>
  <c r="L195" i="1"/>
  <c r="L213" i="1"/>
  <c r="L231" i="1"/>
  <c r="D7" i="13"/>
  <c r="C7" i="13"/>
  <c r="F12" i="13"/>
  <c r="G12" i="13"/>
  <c r="L197" i="1"/>
  <c r="L215" i="1"/>
  <c r="L233" i="1"/>
  <c r="D12" i="13"/>
  <c r="F14" i="13"/>
  <c r="G14" i="13"/>
  <c r="L199" i="1"/>
  <c r="L217" i="1"/>
  <c r="L235" i="1"/>
  <c r="D14" i="13"/>
  <c r="C14" i="13"/>
  <c r="F15" i="13"/>
  <c r="G15" i="13"/>
  <c r="L200" i="1"/>
  <c r="L218" i="1"/>
  <c r="L236" i="1"/>
  <c r="D15" i="13"/>
  <c r="F17" i="13"/>
  <c r="G17" i="13"/>
  <c r="L243" i="1"/>
  <c r="D17" i="13"/>
  <c r="F18" i="13"/>
  <c r="G18" i="13"/>
  <c r="L244" i="1"/>
  <c r="D18" i="13"/>
  <c r="F19" i="13"/>
  <c r="G19" i="13"/>
  <c r="L245" i="1"/>
  <c r="D19" i="13"/>
  <c r="F29" i="13"/>
  <c r="G29" i="13"/>
  <c r="L350" i="1"/>
  <c r="L351" i="1"/>
  <c r="L352" i="1"/>
  <c r="I359" i="1"/>
  <c r="D29" i="13"/>
  <c r="C29" i="13"/>
  <c r="J282" i="1"/>
  <c r="J301" i="1"/>
  <c r="J320" i="1"/>
  <c r="F31" i="13"/>
  <c r="K282" i="1"/>
  <c r="K301" i="1"/>
  <c r="K320" i="1"/>
  <c r="G31" i="13"/>
  <c r="G33" i="13"/>
  <c r="L268" i="1"/>
  <c r="L269" i="1"/>
  <c r="L270" i="1"/>
  <c r="L271" i="1"/>
  <c r="L273" i="1"/>
  <c r="L274" i="1"/>
  <c r="L275" i="1"/>
  <c r="L276" i="1"/>
  <c r="L277" i="1"/>
  <c r="L278" i="1"/>
  <c r="L279" i="1"/>
  <c r="L280" i="1"/>
  <c r="L282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L252" i="1"/>
  <c r="L253" i="1"/>
  <c r="L333" i="1"/>
  <c r="L334" i="1"/>
  <c r="H25" i="13"/>
  <c r="L247" i="1"/>
  <c r="L328" i="1"/>
  <c r="F22" i="13"/>
  <c r="C19" i="13"/>
  <c r="C18" i="13"/>
  <c r="C17" i="13"/>
  <c r="C15" i="13"/>
  <c r="C12" i="13"/>
  <c r="C11" i="13"/>
  <c r="C10" i="13"/>
  <c r="C9" i="13"/>
  <c r="C8" i="13"/>
  <c r="C6" i="13"/>
  <c r="L353" i="1"/>
  <c r="L354" i="1"/>
  <c r="B4" i="12"/>
  <c r="B36" i="12"/>
  <c r="C36" i="12"/>
  <c r="B40" i="12"/>
  <c r="C40" i="12"/>
  <c r="A40" i="12"/>
  <c r="B27" i="12"/>
  <c r="C27" i="12"/>
  <c r="B31" i="12"/>
  <c r="C31" i="12"/>
  <c r="A31" i="12"/>
  <c r="B9" i="12"/>
  <c r="B13" i="12"/>
  <c r="C9" i="12"/>
  <c r="C13" i="12"/>
  <c r="A13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J52" i="1"/>
  <c r="G48" i="2"/>
  <c r="G51" i="2"/>
  <c r="G53" i="2"/>
  <c r="G54" i="2"/>
  <c r="G55" i="2"/>
  <c r="F2" i="11"/>
  <c r="L603" i="1"/>
  <c r="H653" i="1"/>
  <c r="L602" i="1"/>
  <c r="G653" i="1"/>
  <c r="L601" i="1"/>
  <c r="F653" i="1"/>
  <c r="I653" i="1"/>
  <c r="C40" i="10"/>
  <c r="F52" i="1"/>
  <c r="G52" i="1"/>
  <c r="H52" i="1"/>
  <c r="I52" i="1"/>
  <c r="C35" i="10"/>
  <c r="I103" i="1"/>
  <c r="I104" i="1"/>
  <c r="F71" i="1"/>
  <c r="F86" i="1"/>
  <c r="F103" i="1"/>
  <c r="F104" i="1"/>
  <c r="G103" i="1"/>
  <c r="H71" i="1"/>
  <c r="H86" i="1"/>
  <c r="H103" i="1"/>
  <c r="H104" i="1"/>
  <c r="J103" i="1"/>
  <c r="J104" i="1"/>
  <c r="J175" i="1"/>
  <c r="J184" i="1"/>
  <c r="J185" i="1"/>
  <c r="F139" i="1"/>
  <c r="F154" i="1"/>
  <c r="F161" i="1"/>
  <c r="G139" i="1"/>
  <c r="G154" i="1"/>
  <c r="G161" i="1"/>
  <c r="H139" i="1"/>
  <c r="H154" i="1"/>
  <c r="H161" i="1"/>
  <c r="I139" i="1"/>
  <c r="I154" i="1"/>
  <c r="I161" i="1"/>
  <c r="C27" i="10"/>
  <c r="C10" i="10"/>
  <c r="C11" i="10"/>
  <c r="C12" i="10"/>
  <c r="C13" i="10"/>
  <c r="C15" i="10"/>
  <c r="C16" i="10"/>
  <c r="C17" i="10"/>
  <c r="C18" i="10"/>
  <c r="C19" i="10"/>
  <c r="C20" i="10"/>
  <c r="C21" i="10"/>
  <c r="L242" i="1"/>
  <c r="L324" i="1"/>
  <c r="C23" i="10"/>
  <c r="L246" i="1"/>
  <c r="C24" i="10"/>
  <c r="C25" i="10"/>
  <c r="L260" i="1"/>
  <c r="L261" i="1"/>
  <c r="L341" i="1"/>
  <c r="L342" i="1"/>
  <c r="C26" i="10"/>
  <c r="I655" i="1"/>
  <c r="I660" i="1"/>
  <c r="L203" i="1"/>
  <c r="F650" i="1"/>
  <c r="L221" i="1"/>
  <c r="G650" i="1"/>
  <c r="G651" i="1"/>
  <c r="G652" i="1"/>
  <c r="G654" i="1"/>
  <c r="L239" i="1"/>
  <c r="H650" i="1"/>
  <c r="H651" i="1"/>
  <c r="H652" i="1"/>
  <c r="H654" i="1"/>
  <c r="F651" i="1"/>
  <c r="I651" i="1"/>
  <c r="F652" i="1"/>
  <c r="I652" i="1"/>
  <c r="I659" i="1"/>
  <c r="C42" i="10"/>
  <c r="C32" i="10"/>
  <c r="L366" i="1"/>
  <c r="L367" i="1"/>
  <c r="L368" i="1"/>
  <c r="L369" i="1"/>
  <c r="L370" i="1"/>
  <c r="L371" i="1"/>
  <c r="L372" i="1"/>
  <c r="C29" i="10"/>
  <c r="B2" i="10"/>
  <c r="L336" i="1"/>
  <c r="L337" i="1"/>
  <c r="L338" i="1"/>
  <c r="L339" i="1"/>
  <c r="L343" i="1"/>
  <c r="K343" i="1"/>
  <c r="L511" i="1"/>
  <c r="F539" i="1"/>
  <c r="L512" i="1"/>
  <c r="F540" i="1"/>
  <c r="L513" i="1"/>
  <c r="F541" i="1"/>
  <c r="F542" i="1"/>
  <c r="L516" i="1"/>
  <c r="G539" i="1"/>
  <c r="L517" i="1"/>
  <c r="G540" i="1"/>
  <c r="L518" i="1"/>
  <c r="G541" i="1"/>
  <c r="L523" i="1"/>
  <c r="H541" i="1"/>
  <c r="L528" i="1"/>
  <c r="I541" i="1"/>
  <c r="L533" i="1"/>
  <c r="J541" i="1"/>
  <c r="K541" i="1"/>
  <c r="L521" i="1"/>
  <c r="H539" i="1"/>
  <c r="L522" i="1"/>
  <c r="H540" i="1"/>
  <c r="H542" i="1"/>
  <c r="L526" i="1"/>
  <c r="I539" i="1"/>
  <c r="L527" i="1"/>
  <c r="I540" i="1"/>
  <c r="L531" i="1"/>
  <c r="J539" i="1"/>
  <c r="L532" i="1"/>
  <c r="J540" i="1"/>
  <c r="J542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C10" i="2"/>
  <c r="C11" i="2"/>
  <c r="C12" i="2"/>
  <c r="C13" i="2"/>
  <c r="C14" i="2"/>
  <c r="C16" i="2"/>
  <c r="C17" i="2"/>
  <c r="C18" i="2"/>
  <c r="C19" i="2"/>
  <c r="D9" i="2"/>
  <c r="E9" i="2"/>
  <c r="E10" i="2"/>
  <c r="E12" i="2"/>
  <c r="E13" i="2"/>
  <c r="E14" i="2"/>
  <c r="E16" i="2"/>
  <c r="E17" i="2"/>
  <c r="E18" i="2"/>
  <c r="E19" i="2"/>
  <c r="F9" i="2"/>
  <c r="I431" i="1"/>
  <c r="J9" i="1"/>
  <c r="D10" i="2"/>
  <c r="F10" i="2"/>
  <c r="I432" i="1"/>
  <c r="J10" i="1"/>
  <c r="G10" i="2"/>
  <c r="D12" i="2"/>
  <c r="F12" i="2"/>
  <c r="I433" i="1"/>
  <c r="J12" i="1"/>
  <c r="G12" i="2"/>
  <c r="D13" i="2"/>
  <c r="F13" i="2"/>
  <c r="I434" i="1"/>
  <c r="J13" i="1"/>
  <c r="G13" i="2"/>
  <c r="D14" i="2"/>
  <c r="F14" i="2"/>
  <c r="F15" i="2"/>
  <c r="F16" i="2"/>
  <c r="F17" i="2"/>
  <c r="F18" i="2"/>
  <c r="F19" i="2"/>
  <c r="I435" i="1"/>
  <c r="J14" i="1"/>
  <c r="G14" i="2"/>
  <c r="D16" i="2"/>
  <c r="D17" i="2"/>
  <c r="I436" i="1"/>
  <c r="J17" i="1"/>
  <c r="G17" i="2"/>
  <c r="D18" i="2"/>
  <c r="I437" i="1"/>
  <c r="J18" i="1"/>
  <c r="G18" i="2"/>
  <c r="D19" i="2"/>
  <c r="C22" i="2"/>
  <c r="D22" i="2"/>
  <c r="E22" i="2"/>
  <c r="F22" i="2"/>
  <c r="I440" i="1"/>
  <c r="J23" i="1"/>
  <c r="C23" i="2"/>
  <c r="D23" i="2"/>
  <c r="D24" i="2"/>
  <c r="D25" i="2"/>
  <c r="D28" i="2"/>
  <c r="D29" i="2"/>
  <c r="D30" i="2"/>
  <c r="D31" i="2"/>
  <c r="D32" i="2"/>
  <c r="E23" i="2"/>
  <c r="F23" i="2"/>
  <c r="F24" i="2"/>
  <c r="F25" i="2"/>
  <c r="F26" i="2"/>
  <c r="F27" i="2"/>
  <c r="F28" i="2"/>
  <c r="F29" i="2"/>
  <c r="F30" i="2"/>
  <c r="F31" i="2"/>
  <c r="F32" i="2"/>
  <c r="I441" i="1"/>
  <c r="J24" i="1"/>
  <c r="G23" i="2"/>
  <c r="C24" i="2"/>
  <c r="E24" i="2"/>
  <c r="E25" i="2"/>
  <c r="E28" i="2"/>
  <c r="E29" i="2"/>
  <c r="E30" i="2"/>
  <c r="E31" i="2"/>
  <c r="E32" i="2"/>
  <c r="I442" i="1"/>
  <c r="J25" i="1"/>
  <c r="G24" i="2"/>
  <c r="C25" i="2"/>
  <c r="C26" i="2"/>
  <c r="C27" i="2"/>
  <c r="C28" i="2"/>
  <c r="C29" i="2"/>
  <c r="C30" i="2"/>
  <c r="C31" i="2"/>
  <c r="I443" i="1"/>
  <c r="J32" i="1"/>
  <c r="G31" i="2"/>
  <c r="C32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C38" i="2"/>
  <c r="C40" i="2"/>
  <c r="C41" i="2"/>
  <c r="C42" i="2"/>
  <c r="C43" i="2"/>
  <c r="D37" i="2"/>
  <c r="E37" i="2"/>
  <c r="E38" i="2"/>
  <c r="E40" i="2"/>
  <c r="E41" i="2"/>
  <c r="E42" i="2"/>
  <c r="F37" i="2"/>
  <c r="I447" i="1"/>
  <c r="J38" i="1"/>
  <c r="D38" i="2"/>
  <c r="D40" i="2"/>
  <c r="D41" i="2"/>
  <c r="D42" i="2"/>
  <c r="F38" i="2"/>
  <c r="I448" i="1"/>
  <c r="J40" i="1"/>
  <c r="G39" i="2"/>
  <c r="F40" i="2"/>
  <c r="I449" i="1"/>
  <c r="J41" i="1"/>
  <c r="G40" i="2"/>
  <c r="F41" i="2"/>
  <c r="F42" i="2"/>
  <c r="C48" i="2"/>
  <c r="D48" i="2"/>
  <c r="E48" i="2"/>
  <c r="F48" i="2"/>
  <c r="C49" i="2"/>
  <c r="E49" i="2"/>
  <c r="E50" i="2"/>
  <c r="E51" i="2"/>
  <c r="E53" i="2"/>
  <c r="E54" i="2"/>
  <c r="E55" i="2"/>
  <c r="C50" i="2"/>
  <c r="C51" i="2"/>
  <c r="D51" i="2"/>
  <c r="D52" i="2"/>
  <c r="D53" i="2"/>
  <c r="D54" i="2"/>
  <c r="F51" i="2"/>
  <c r="F53" i="2"/>
  <c r="F54" i="2"/>
  <c r="C53" i="2"/>
  <c r="C54" i="2"/>
  <c r="C55" i="2"/>
  <c r="C58" i="2"/>
  <c r="C59" i="2"/>
  <c r="C61" i="2"/>
  <c r="C62" i="2"/>
  <c r="D61" i="2"/>
  <c r="E61" i="2"/>
  <c r="E62" i="2"/>
  <c r="F61" i="2"/>
  <c r="G61" i="2"/>
  <c r="G62" i="2"/>
  <c r="G69" i="2"/>
  <c r="G70" i="2"/>
  <c r="G73" i="2"/>
  <c r="D62" i="2"/>
  <c r="F62" i="2"/>
  <c r="C64" i="2"/>
  <c r="C65" i="2"/>
  <c r="C66" i="2"/>
  <c r="C67" i="2"/>
  <c r="C68" i="2"/>
  <c r="C69" i="2"/>
  <c r="C70" i="2"/>
  <c r="C71" i="2"/>
  <c r="C72" i="2"/>
  <c r="C73" i="2"/>
  <c r="F64" i="2"/>
  <c r="F65" i="2"/>
  <c r="E68" i="2"/>
  <c r="F68" i="2"/>
  <c r="F69" i="2"/>
  <c r="F70" i="2"/>
  <c r="F73" i="2"/>
  <c r="D69" i="2"/>
  <c r="D70" i="2"/>
  <c r="D71" i="2"/>
  <c r="D73" i="2"/>
  <c r="E69" i="2"/>
  <c r="E70" i="2"/>
  <c r="E71" i="2"/>
  <c r="E72" i="2"/>
  <c r="E73" i="2"/>
  <c r="C77" i="2"/>
  <c r="D77" i="2"/>
  <c r="E77" i="2"/>
  <c r="F77" i="2"/>
  <c r="C79" i="2"/>
  <c r="E79" i="2"/>
  <c r="E80" i="2"/>
  <c r="E81" i="2"/>
  <c r="E83" i="2"/>
  <c r="F79" i="2"/>
  <c r="C80" i="2"/>
  <c r="C81" i="2"/>
  <c r="C82" i="2"/>
  <c r="C83" i="2"/>
  <c r="D80" i="2"/>
  <c r="F80" i="2"/>
  <c r="D81" i="2"/>
  <c r="F81" i="2"/>
  <c r="D83" i="2"/>
  <c r="F83" i="2"/>
  <c r="C85" i="2"/>
  <c r="F85" i="2"/>
  <c r="F86" i="2"/>
  <c r="F88" i="2"/>
  <c r="F89" i="2"/>
  <c r="F91" i="2"/>
  <c r="F92" i="2"/>
  <c r="F93" i="2"/>
  <c r="F94" i="2"/>
  <c r="F95" i="2"/>
  <c r="C86" i="2"/>
  <c r="D88" i="2"/>
  <c r="E88" i="2"/>
  <c r="G88" i="2"/>
  <c r="C89" i="2"/>
  <c r="D89" i="2"/>
  <c r="D90" i="2"/>
  <c r="D91" i="2"/>
  <c r="D92" i="2"/>
  <c r="D93" i="2"/>
  <c r="D94" i="2"/>
  <c r="D95" i="2"/>
  <c r="E89" i="2"/>
  <c r="G89" i="2"/>
  <c r="C90" i="2"/>
  <c r="E90" i="2"/>
  <c r="G90" i="2"/>
  <c r="C91" i="2"/>
  <c r="E91" i="2"/>
  <c r="C92" i="2"/>
  <c r="E92" i="2"/>
  <c r="C93" i="2"/>
  <c r="E93" i="2"/>
  <c r="C94" i="2"/>
  <c r="E94" i="2"/>
  <c r="C95" i="2"/>
  <c r="E95" i="2"/>
  <c r="G95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D107" i="2"/>
  <c r="E107" i="2"/>
  <c r="E110" i="2"/>
  <c r="E111" i="2"/>
  <c r="E112" i="2"/>
  <c r="E113" i="2"/>
  <c r="E114" i="2"/>
  <c r="E115" i="2"/>
  <c r="E116" i="2"/>
  <c r="E117" i="2"/>
  <c r="E120" i="2"/>
  <c r="E122" i="2"/>
  <c r="E126" i="2"/>
  <c r="E127" i="2"/>
  <c r="E129" i="2"/>
  <c r="E134" i="2"/>
  <c r="E135" i="2"/>
  <c r="E136" i="2"/>
  <c r="E137" i="2"/>
  <c r="F107" i="2"/>
  <c r="G107" i="2"/>
  <c r="C110" i="2"/>
  <c r="C111" i="2"/>
  <c r="C112" i="2"/>
  <c r="C113" i="2"/>
  <c r="C114" i="2"/>
  <c r="C115" i="2"/>
  <c r="C116" i="2"/>
  <c r="C117" i="2"/>
  <c r="D119" i="2"/>
  <c r="D120" i="2"/>
  <c r="C120" i="2"/>
  <c r="F120" i="2"/>
  <c r="G120" i="2"/>
  <c r="C122" i="2"/>
  <c r="F122" i="2"/>
  <c r="D126" i="2"/>
  <c r="D136" i="2"/>
  <c r="F126" i="2"/>
  <c r="F136" i="2"/>
  <c r="F137" i="2"/>
  <c r="K411" i="1"/>
  <c r="K419" i="1"/>
  <c r="K425" i="1"/>
  <c r="K426" i="1"/>
  <c r="G126" i="2"/>
  <c r="G136" i="2"/>
  <c r="L255" i="1"/>
  <c r="C127" i="2"/>
  <c r="L256" i="1"/>
  <c r="C128" i="2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/>
  <c r="G490" i="1"/>
  <c r="C153" i="2"/>
  <c r="H490" i="1"/>
  <c r="D153" i="2"/>
  <c r="I490" i="1"/>
  <c r="E153" i="2"/>
  <c r="J490" i="1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F19" i="1"/>
  <c r="G19" i="1"/>
  <c r="H19" i="1"/>
  <c r="I19" i="1"/>
  <c r="F33" i="1"/>
  <c r="G33" i="1"/>
  <c r="H33" i="1"/>
  <c r="I33" i="1"/>
  <c r="F43" i="1"/>
  <c r="G43" i="1"/>
  <c r="G44" i="1"/>
  <c r="H43" i="1"/>
  <c r="I43" i="1"/>
  <c r="I44" i="1"/>
  <c r="F44" i="1"/>
  <c r="H44" i="1"/>
  <c r="F169" i="1"/>
  <c r="I169" i="1"/>
  <c r="I175" i="1"/>
  <c r="I180" i="1"/>
  <c r="I184" i="1"/>
  <c r="F175" i="1"/>
  <c r="G175" i="1"/>
  <c r="G180" i="1"/>
  <c r="G184" i="1"/>
  <c r="H175" i="1"/>
  <c r="F180" i="1"/>
  <c r="H180" i="1"/>
  <c r="F184" i="1"/>
  <c r="H184" i="1"/>
  <c r="F203" i="1"/>
  <c r="F221" i="1"/>
  <c r="F239" i="1"/>
  <c r="F248" i="1"/>
  <c r="F249" i="1"/>
  <c r="F263" i="1"/>
  <c r="G203" i="1"/>
  <c r="H203" i="1"/>
  <c r="H221" i="1"/>
  <c r="H239" i="1"/>
  <c r="H248" i="1"/>
  <c r="H249" i="1"/>
  <c r="H263" i="1"/>
  <c r="I203" i="1"/>
  <c r="J203" i="1"/>
  <c r="J221" i="1"/>
  <c r="J239" i="1"/>
  <c r="J248" i="1"/>
  <c r="J249" i="1"/>
  <c r="J263" i="1"/>
  <c r="K203" i="1"/>
  <c r="G221" i="1"/>
  <c r="I221" i="1"/>
  <c r="K221" i="1"/>
  <c r="G239" i="1"/>
  <c r="I239" i="1"/>
  <c r="K239" i="1"/>
  <c r="G248" i="1"/>
  <c r="I248" i="1"/>
  <c r="K248" i="1"/>
  <c r="L248" i="1"/>
  <c r="L249" i="1"/>
  <c r="G249" i="1"/>
  <c r="I249" i="1"/>
  <c r="K249" i="1"/>
  <c r="L262" i="1"/>
  <c r="G263" i="1"/>
  <c r="I263" i="1"/>
  <c r="K263" i="1"/>
  <c r="F282" i="1"/>
  <c r="G282" i="1"/>
  <c r="H282" i="1"/>
  <c r="I282" i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J330" i="1"/>
  <c r="G330" i="1"/>
  <c r="G344" i="1"/>
  <c r="I330" i="1"/>
  <c r="I344" i="1"/>
  <c r="K330" i="1"/>
  <c r="K344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L374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0" i="1"/>
  <c r="L405" i="1"/>
  <c r="L406" i="1"/>
  <c r="L407" i="1"/>
  <c r="L408" i="1"/>
  <c r="L409" i="1"/>
  <c r="L410" i="1"/>
  <c r="F411" i="1"/>
  <c r="G411" i="1"/>
  <c r="H411" i="1"/>
  <c r="I411" i="1"/>
  <c r="I419" i="1"/>
  <c r="I425" i="1"/>
  <c r="I426" i="1"/>
  <c r="J411" i="1"/>
  <c r="L411" i="1"/>
  <c r="L413" i="1"/>
  <c r="L414" i="1"/>
  <c r="L415" i="1"/>
  <c r="L416" i="1"/>
  <c r="L417" i="1"/>
  <c r="L418" i="1"/>
  <c r="F419" i="1"/>
  <c r="G419" i="1"/>
  <c r="H419" i="1"/>
  <c r="J419" i="1"/>
  <c r="L419" i="1"/>
  <c r="L421" i="1"/>
  <c r="L422" i="1"/>
  <c r="L423" i="1"/>
  <c r="L424" i="1"/>
  <c r="L425" i="1"/>
  <c r="F425" i="1"/>
  <c r="G425" i="1"/>
  <c r="H425" i="1"/>
  <c r="H426" i="1"/>
  <c r="J425" i="1"/>
  <c r="F426" i="1"/>
  <c r="G426" i="1"/>
  <c r="J426" i="1"/>
  <c r="F438" i="1"/>
  <c r="G629" i="1"/>
  <c r="F444" i="1"/>
  <c r="F450" i="1"/>
  <c r="F451" i="1"/>
  <c r="H629" i="1"/>
  <c r="J629" i="1"/>
  <c r="G438" i="1"/>
  <c r="H438" i="1"/>
  <c r="I438" i="1"/>
  <c r="G444" i="1"/>
  <c r="H444" i="1"/>
  <c r="I444" i="1"/>
  <c r="G450" i="1"/>
  <c r="H450" i="1"/>
  <c r="I450" i="1"/>
  <c r="G451" i="1"/>
  <c r="H451" i="1"/>
  <c r="I451" i="1"/>
  <c r="F460" i="1"/>
  <c r="F464" i="1"/>
  <c r="F466" i="1"/>
  <c r="H612" i="1"/>
  <c r="G460" i="1"/>
  <c r="H460" i="1"/>
  <c r="I460" i="1"/>
  <c r="I464" i="1"/>
  <c r="I466" i="1"/>
  <c r="H615" i="1"/>
  <c r="G615" i="1"/>
  <c r="J615" i="1"/>
  <c r="J460" i="1"/>
  <c r="J464" i="1"/>
  <c r="J466" i="1"/>
  <c r="H616" i="1"/>
  <c r="G464" i="1"/>
  <c r="G466" i="1"/>
  <c r="H613" i="1"/>
  <c r="H464" i="1"/>
  <c r="H466" i="1"/>
  <c r="H614" i="1"/>
  <c r="G614" i="1"/>
  <c r="J614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19" i="1"/>
  <c r="F524" i="1"/>
  <c r="F529" i="1"/>
  <c r="F534" i="1"/>
  <c r="F535" i="1"/>
  <c r="G514" i="1"/>
  <c r="H514" i="1"/>
  <c r="H519" i="1"/>
  <c r="H524" i="1"/>
  <c r="H529" i="1"/>
  <c r="H534" i="1"/>
  <c r="H535" i="1"/>
  <c r="I514" i="1"/>
  <c r="J514" i="1"/>
  <c r="J519" i="1"/>
  <c r="J524" i="1"/>
  <c r="J529" i="1"/>
  <c r="J534" i="1"/>
  <c r="J535" i="1"/>
  <c r="K514" i="1"/>
  <c r="L514" i="1"/>
  <c r="L519" i="1"/>
  <c r="L524" i="1"/>
  <c r="L529" i="1"/>
  <c r="L534" i="1"/>
  <c r="L535" i="1"/>
  <c r="G519" i="1"/>
  <c r="I519" i="1"/>
  <c r="K519" i="1"/>
  <c r="G524" i="1"/>
  <c r="I524" i="1"/>
  <c r="K524" i="1"/>
  <c r="G529" i="1"/>
  <c r="I529" i="1"/>
  <c r="I534" i="1"/>
  <c r="I535" i="1"/>
  <c r="K529" i="1"/>
  <c r="G534" i="1"/>
  <c r="K534" i="1"/>
  <c r="G535" i="1"/>
  <c r="K535" i="1"/>
  <c r="L547" i="1"/>
  <c r="L548" i="1"/>
  <c r="L549" i="1"/>
  <c r="L550" i="1"/>
  <c r="F550" i="1"/>
  <c r="G550" i="1"/>
  <c r="G555" i="1"/>
  <c r="G560" i="1"/>
  <c r="G561" i="1"/>
  <c r="H550" i="1"/>
  <c r="I550" i="1"/>
  <c r="I555" i="1"/>
  <c r="I560" i="1"/>
  <c r="I561" i="1"/>
  <c r="J550" i="1"/>
  <c r="K550" i="1"/>
  <c r="K555" i="1"/>
  <c r="K560" i="1"/>
  <c r="K561" i="1"/>
  <c r="L552" i="1"/>
  <c r="L553" i="1"/>
  <c r="L554" i="1"/>
  <c r="L555" i="1"/>
  <c r="F555" i="1"/>
  <c r="H555" i="1"/>
  <c r="J555" i="1"/>
  <c r="L557" i="1"/>
  <c r="L558" i="1"/>
  <c r="L559" i="1"/>
  <c r="L560" i="1"/>
  <c r="F560" i="1"/>
  <c r="H560" i="1"/>
  <c r="J560" i="1"/>
  <c r="F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/>
  <c r="G637" i="1"/>
  <c r="H637" i="1"/>
  <c r="J637" i="1"/>
  <c r="H588" i="1"/>
  <c r="I588" i="1"/>
  <c r="H640" i="1"/>
  <c r="J588" i="1"/>
  <c r="K592" i="1"/>
  <c r="K593" i="1"/>
  <c r="K594" i="1"/>
  <c r="K595" i="1"/>
  <c r="G638" i="1"/>
  <c r="H638" i="1"/>
  <c r="J638" i="1"/>
  <c r="H595" i="1"/>
  <c r="I595" i="1"/>
  <c r="J595" i="1"/>
  <c r="F604" i="1"/>
  <c r="G604" i="1"/>
  <c r="H604" i="1"/>
  <c r="I604" i="1"/>
  <c r="J604" i="1"/>
  <c r="K604" i="1"/>
  <c r="L604" i="1"/>
  <c r="G607" i="1"/>
  <c r="H607" i="1"/>
  <c r="J607" i="1"/>
  <c r="G608" i="1"/>
  <c r="H608" i="1"/>
  <c r="G609" i="1"/>
  <c r="H609" i="1"/>
  <c r="J609" i="1"/>
  <c r="G610" i="1"/>
  <c r="H610" i="1"/>
  <c r="J610" i="1"/>
  <c r="G612" i="1"/>
  <c r="J612" i="1"/>
  <c r="G613" i="1"/>
  <c r="J613" i="1"/>
  <c r="H617" i="1"/>
  <c r="H618" i="1"/>
  <c r="H619" i="1"/>
  <c r="H620" i="1"/>
  <c r="G621" i="1"/>
  <c r="H621" i="1"/>
  <c r="J621" i="1"/>
  <c r="H622" i="1"/>
  <c r="H623" i="1"/>
  <c r="G624" i="1"/>
  <c r="H624" i="1"/>
  <c r="J624" i="1"/>
  <c r="G625" i="1"/>
  <c r="H625" i="1"/>
  <c r="J625" i="1"/>
  <c r="G626" i="1"/>
  <c r="H626" i="1"/>
  <c r="J626" i="1"/>
  <c r="G627" i="1"/>
  <c r="H627" i="1"/>
  <c r="J627" i="1"/>
  <c r="H628" i="1"/>
  <c r="G630" i="1"/>
  <c r="H630" i="1"/>
  <c r="J630" i="1"/>
  <c r="G631" i="1"/>
  <c r="H631" i="1"/>
  <c r="J631" i="1"/>
  <c r="G632" i="1"/>
  <c r="H632" i="1"/>
  <c r="J632" i="1"/>
  <c r="G633" i="1"/>
  <c r="H633" i="1"/>
  <c r="J633" i="1"/>
  <c r="G634" i="1"/>
  <c r="H634" i="1"/>
  <c r="J634" i="1"/>
  <c r="G635" i="1"/>
  <c r="H635" i="1"/>
  <c r="J635" i="1"/>
  <c r="G636" i="1"/>
  <c r="H636" i="1"/>
  <c r="J636" i="1"/>
  <c r="G639" i="1"/>
  <c r="H639" i="1"/>
  <c r="J639" i="1"/>
  <c r="G640" i="1"/>
  <c r="J640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L426" i="1"/>
  <c r="G628" i="1"/>
  <c r="J628" i="1"/>
  <c r="L561" i="1"/>
  <c r="J608" i="1"/>
  <c r="E96" i="2"/>
  <c r="D55" i="2"/>
  <c r="D96" i="2"/>
  <c r="D43" i="2"/>
  <c r="E43" i="2"/>
  <c r="C28" i="10"/>
  <c r="D19" i="10"/>
  <c r="D15" i="10"/>
  <c r="I185" i="1"/>
  <c r="G620" i="1"/>
  <c r="J620" i="1"/>
  <c r="C133" i="2"/>
  <c r="C25" i="13"/>
  <c r="H33" i="13"/>
  <c r="C5" i="13"/>
  <c r="E33" i="13"/>
  <c r="D35" i="13"/>
  <c r="C13" i="13"/>
  <c r="F330" i="1"/>
  <c r="F344" i="1"/>
  <c r="L263" i="1"/>
  <c r="G622" i="1"/>
  <c r="J622" i="1"/>
  <c r="D137" i="2"/>
  <c r="J19" i="1"/>
  <c r="G611" i="1"/>
  <c r="G9" i="2"/>
  <c r="G19" i="2"/>
  <c r="H662" i="1"/>
  <c r="C6" i="10"/>
  <c r="H657" i="1"/>
  <c r="D23" i="10"/>
  <c r="G156" i="2"/>
  <c r="C136" i="2"/>
  <c r="C137" i="2"/>
  <c r="G137" i="2"/>
  <c r="F55" i="2"/>
  <c r="F96" i="2"/>
  <c r="F43" i="2"/>
  <c r="G37" i="2"/>
  <c r="J43" i="1"/>
  <c r="I542" i="1"/>
  <c r="K540" i="1"/>
  <c r="G662" i="1"/>
  <c r="C5" i="10"/>
  <c r="G657" i="1"/>
  <c r="D25" i="10"/>
  <c r="D21" i="10"/>
  <c r="D17" i="10"/>
  <c r="D12" i="10"/>
  <c r="C39" i="10"/>
  <c r="G104" i="1"/>
  <c r="C36" i="10"/>
  <c r="G96" i="2"/>
  <c r="F33" i="13"/>
  <c r="C22" i="13"/>
  <c r="L330" i="1"/>
  <c r="L344" i="1"/>
  <c r="G623" i="1"/>
  <c r="J623" i="1"/>
  <c r="D31" i="13"/>
  <c r="C31" i="13"/>
  <c r="H330" i="1"/>
  <c r="H344" i="1"/>
  <c r="C96" i="2"/>
  <c r="G42" i="2"/>
  <c r="G22" i="2"/>
  <c r="G32" i="2"/>
  <c r="J33" i="1"/>
  <c r="K539" i="1"/>
  <c r="G542" i="1"/>
  <c r="I650" i="1"/>
  <c r="I654" i="1"/>
  <c r="F654" i="1"/>
  <c r="D24" i="10"/>
  <c r="H185" i="1"/>
  <c r="G619" i="1"/>
  <c r="J619" i="1"/>
  <c r="F185" i="1"/>
  <c r="G617" i="1"/>
  <c r="J617" i="1"/>
  <c r="G185" i="1"/>
  <c r="G618" i="1"/>
  <c r="J618" i="1"/>
  <c r="I657" i="1"/>
  <c r="I662" i="1"/>
  <c r="C7" i="10"/>
  <c r="F662" i="1"/>
  <c r="C4" i="10"/>
  <c r="F657" i="1"/>
  <c r="C41" i="10"/>
  <c r="D39" i="10"/>
  <c r="G43" i="2"/>
  <c r="J44" i="1"/>
  <c r="H611" i="1"/>
  <c r="J611" i="1"/>
  <c r="G616" i="1"/>
  <c r="J616" i="1"/>
  <c r="D33" i="13"/>
  <c r="D36" i="13"/>
  <c r="K542" i="1"/>
  <c r="D20" i="10"/>
  <c r="D16" i="10"/>
  <c r="D11" i="10"/>
  <c r="D27" i="10"/>
  <c r="D10" i="10"/>
  <c r="C30" i="10"/>
  <c r="D22" i="10"/>
  <c r="D18" i="10"/>
  <c r="D13" i="10"/>
  <c r="D26" i="10"/>
  <c r="D28" i="10"/>
  <c r="H646" i="1"/>
  <c r="D37" i="10"/>
  <c r="D40" i="10"/>
  <c r="D35" i="10"/>
  <c r="D38" i="10"/>
  <c r="D36" i="10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FFB5787-C8C7-409F-AF2C-0A15E5258AA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1C56B1E-D040-41B5-8B68-45C77800EEB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452D88E-1C7C-4855-B021-AE8DDB109AB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3957F95-6E39-491F-8E63-8AADA526BCBB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A2C03C5-FD07-48EE-907C-6A5F396E5AF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5195024-9218-4521-83AA-26514780819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39163AE-C907-4C6A-8EA1-A8366E58EB6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2F44C89-C976-4289-8879-C6010E860EF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16EA619-42BB-488F-9B92-9CBAD197E15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F5E856C-73EB-44F9-895C-D3B3E2A3FB2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E7C96E7-BEFC-4C70-9845-36E79639815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B607C19-94D4-4E32-88E8-60A4E9BD0DA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<sst xmlns="http://schemas.openxmlformats.org/spreadsheetml/2006/main" count="3863" uniqueCount="900">
  <si>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</si>
  <si>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</si>
  <si>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</si>
  <si>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</si>
  <si>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</si>
  <si>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</si>
  <si>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</si>
  <si>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</si>
  <si>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</si>
  <si>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</si>
  <si>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</si>
  <si>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</si>
  <si>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</si>
  <si>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</si>
  <si>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</si>
  <si>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</si>
  <si>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</si>
  <si>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</si>
  <si>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</si>
  <si>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</si>
  <si>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</si>
  <si>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</si>
  <si>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</si>
  <si>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</si>
  <si>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</si>
  <si>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</si>
  <si>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</si>
  <si>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</si>
  <si>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</si>
  <si>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</si>
  <si>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</si>
  <si>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</si>
  <si>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</si>
  <si>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</si>
  <si>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</si>
  <si>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</si>
  <si>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</si>
  <si>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</si>
  <si>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</si>
  <si>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</si>
  <si>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</si>
  <si>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</si>
  <si>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</si>
  <si>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</si>
  <si>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</si>
  <si>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</si>
  <si>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</si>
  <si>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</si>
  <si>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</si>
  <si>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</si>
  <si>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</si>
  <si>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</si>
  <si>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</si>
  <si>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</si>
  <si>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</si>
  <si>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</si>
  <si>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</si>
  <si>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</si>
  <si>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</si>
  <si>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</si>
  <si>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</si>
  <si>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</si>
  <si>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</si>
  <si>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</si>
  <si>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</si>
  <si>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</si>
  <si>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</si>
  <si>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</si>
  <si>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</si>
  <si>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</si>
  <si>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</si>
  <si>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</si>
  <si>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</si>
  <si>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</si>
  <si>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</si>
  <si>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</si>
  <si>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</si>
  <si>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</si>
  <si>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</si>
  <si>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</si>
  <si>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</si>
  <si>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</si>
  <si>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</si>
  <si>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</si>
  <si>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</si>
  <si>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</si>
  <si>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</si>
  <si>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</si>
  <si>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</si>
  <si>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</si>
  <si>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</si>
  <si>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</si>
  <si>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</si>
  <si>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</si>
  <si>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</si>
  <si>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</si>
  <si>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</si>
  <si>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</si>
  <si>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</si>
  <si>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</si>
  <si>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</si>
  <si>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</si>
  <si>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</si>
  <si>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</si>
  <si>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</si>
  <si>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</si>
  <si>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</si>
  <si>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</si>
  <si>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</si>
  <si>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</si>
  <si>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</si>
  <si>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</si>
  <si>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</si>
  <si>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</si>
  <si>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</si>
  <si>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</si>
  <si>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</si>
  <si>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</si>
  <si>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</si>
  <si>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</si>
  <si>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</si>
  <si>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</si>
  <si>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</si>
  <si>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</si>
  <si>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</si>
  <si>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</si>
  <si>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</si>
  <si>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</si>
  <si>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</si>
  <si>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</si>
  <si>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</si>
  <si>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</si>
  <si>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</si>
  <si>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</si>
  <si>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</si>
  <si>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</si>
  <si>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</si>
  <si>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</si>
  <si>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</si>
  <si>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</si>
  <si>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</si>
  <si>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</si>
  <si>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</si>
  <si>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</si>
  <si>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</si>
  <si>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</si>
  <si>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</si>
  <si>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</si>
  <si>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</si>
  <si>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</si>
  <si>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</si>
  <si>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</si>
  <si>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</si>
  <si>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</si>
  <si>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</si>
  <si>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</si>
  <si>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</si>
  <si>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</si>
  <si>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</si>
  <si>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</si>
  <si>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</si>
  <si>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</si>
  <si>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</si>
  <si>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</si>
  <si>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</si>
  <si>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</si>
  <si>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</si>
  <si>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</si>
  <si>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</si>
  <si>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</si>
  <si>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</si>
  <si>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</si>
  <si>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</si>
  <si>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</si>
  <si>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</si>
  <si>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</si>
  <si>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</si>
  <si>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</si>
  <si>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</si>
  <si>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</si>
  <si>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</si>
  <si>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</si>
  <si>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</si>
  <si>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</si>
  <si>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</si>
  <si>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</si>
  <si>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</si>
  <si>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</si>
  <si>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</si>
  <si>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</si>
  <si>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</si>
  <si>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</si>
  <si>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</si>
  <si>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</si>
  <si>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</si>
  <si>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</si>
  <si>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</si>
  <si>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</si>
  <si>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</si>
  <si>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</si>
  <si>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</si>
  <si>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</si>
  <si>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</si>
  <si>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</si>
  <si>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</si>
  <si>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</si>
  <si>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</si>
  <si>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</si>
  <si>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</si>
  <si>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</si>
  <si>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</si>
  <si>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</si>
  <si>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</si>
  <si>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</si>
  <si>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</si>
  <si>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</si>
  <si>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</si>
  <si>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</si>
  <si>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</si>
  <si>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</si>
  <si>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</si>
  <si>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</si>
  <si>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</si>
  <si>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</si>
  <si>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</si>
  <si>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</si>
  <si>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</si>
  <si>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</si>
  <si>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</si>
  <si>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</si>
  <si>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</si>
  <si>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</si>
  <si>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</si>
  <si>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</si>
  <si>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</si>
  <si>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</si>
  <si>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</si>
  <si>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</si>
  <si>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</si>
  <si>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</si>
  <si>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</si>
  <si>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</si>
  <si>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</si>
  <si>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</si>
  <si>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</si>
  <si>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</si>
  <si>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</si>
  <si>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</si>
  <si>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</si>
  <si>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</si>
  <si>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</si>
  <si>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</si>
  <si>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</si>
  <si>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</si>
  <si>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</si>
  <si>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</si>
  <si>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</si>
  <si>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</si>
  <si>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</si>
  <si>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</si>
  <si>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</si>
  <si>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</si>
  <si>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</si>
  <si>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</si>
  <si>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</si>
  <si>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</si>
  <si>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</si>
  <si>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</si>
  <si>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</si>
  <si>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</si>
  <si>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</si>
  <si>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</si>
  <si>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</si>
  <si>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</si>
  <si>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</si>
  <si>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</si>
  <si>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</si>
  <si>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</si>
  <si>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</si>
  <si>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</si>
  <si>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</si>
  <si>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</si>
  <si>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</si>
  <si>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</si>
  <si>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</si>
  <si>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</si>
  <si>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</si>
  <si>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</si>
  <si>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</si>
  <si>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</si>
  <si>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</si>
  <si>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</si>
  <si>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</si>
  <si>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</si>
  <si>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</si>
  <si>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</si>
  <si>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</si>
  <si>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</si>
  <si>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</si>
  <si>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</si>
  <si>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</si>
  <si>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</si>
  <si>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</si>
  <si>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</si>
  <si>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</si>
  <si>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</si>
  <si>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</si>
  <si>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</si>
  <si>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</si>
  <si>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</si>
  <si>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</si>
  <si>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</si>
  <si>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</si>
  <si>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</si>
  <si>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</si>
  <si>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</si>
  <si>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</si>
  <si>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</si>
  <si>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</si>
  <si>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</si>
  <si>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</si>
  <si>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</si>
  <si>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</si>
  <si>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</si>
  <si>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</si>
  <si>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</si>
  <si>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</si>
  <si>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</si>
  <si>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</si>
  <si>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</si>
  <si>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</si>
  <si>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</si>
  <si>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</si>
  <si>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</si>
  <si>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</si>
  <si>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</si>
  <si>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</si>
  <si>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</si>
  <si>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</si>
  <si>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</si>
  <si>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</si>
  <si>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</si>
  <si>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</si>
  <si>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</si>
  <si>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</si>
  <si>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</si>
  <si>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</si>
  <si>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</si>
  <si>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</si>
  <si>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</si>
  <si>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</si>
  <si>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</si>
  <si>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</si>
  <si>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</si>
  <si>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</si>
  <si>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</si>
  <si>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</si>
  <si>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</si>
  <si>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</si>
  <si>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</si>
  <si>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</si>
  <si>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</si>
  <si>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</si>
  <si>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</si>
  <si>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</si>
  <si>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</si>
  <si>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</si>
  <si>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</si>
  <si>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</si>
  <si>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</si>
  <si>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</si>
  <si>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</si>
  <si>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</si>
  <si>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</si>
  <si>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</si>
  <si>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</si>
  <si>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</si>
  <si>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</si>
  <si>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</si>
  <si>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</si>
  <si>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</si>
  <si>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</si>
  <si>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</si>
  <si>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</si>
  <si>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</si>
  <si>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</si>
  <si>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</si>
  <si>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</si>
  <si>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</si>
  <si>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</si>
  <si>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</si>
  <si>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</si>
  <si>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</si>
  <si>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</si>
  <si>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</si>
  <si>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</si>
  <si>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</si>
  <si>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</si>
  <si>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</si>
  <si>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</si>
  <si>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</si>
  <si>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</si>
  <si>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</si>
  <si>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</si>
  <si>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</si>
  <si>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</si>
  <si>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</si>
  <si>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</si>
  <si>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</si>
  <si>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</si>
  <si>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</si>
  <si>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</si>
  <si>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</si>
  <si>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</si>
  <si>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</si>
  <si>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</si>
  <si>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</si>
  <si>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</si>
  <si>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</si>
  <si>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</si>
  <si>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</si>
  <si>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</si>
  <si>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</si>
  <si>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</si>
  <si>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</si>
  <si>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</si>
  <si>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</si>
  <si>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</si>
  <si>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</si>
  <si>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</si>
  <si>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</si>
  <si>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</si>
  <si>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</si>
  <si>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</si>
  <si>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</si>
  <si>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</si>
  <si>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</si>
  <si>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</si>
  <si>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</si>
  <si>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</si>
  <si>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</si>
  <si>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</si>
  <si>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</si>
  <si>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</si>
  <si>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</si>
  <si>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</si>
  <si>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</si>
  <si>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</si>
  <si>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</si>
  <si>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</si>
  <si>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</si>
  <si>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</si>
  <si>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</si>
  <si>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</si>
  <si>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</si>
  <si>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</si>
  <si>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</si>
  <si>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</si>
  <si>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</si>
  <si>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</si>
  <si>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</si>
  <si>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</si>
  <si>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</si>
  <si>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</si>
  <si>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</si>
  <si>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</si>
  <si>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</si>
  <si>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</si>
  <si>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</si>
  <si>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</si>
  <si>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</si>
  <si>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</si>
  <si>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</si>
  <si>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</si>
  <si>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</si>
  <si>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</si>
  <si>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</si>
  <si>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</si>
  <si>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</si>
  <si>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</si>
  <si>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</si>
  <si>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</si>
  <si>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</si>
  <si>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</si>
  <si>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</si>
  <si>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</si>
  <si>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</si>
  <si>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</si>
  <si>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</si>
  <si>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</si>
  <si>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</si>
  <si>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</si>
  <si>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</si>
  <si>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</si>
  <si>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</si>
  <si>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</si>
  <si>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</si>
  <si>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</si>
  <si>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</si>
  <si>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</si>
  <si>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</si>
  <si>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</si>
  <si>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</si>
  <si>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</si>
  <si>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</si>
  <si>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</si>
  <si>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</si>
  <si>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</si>
  <si>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</si>
  <si>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</si>
  <si>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</si>
  <si>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</si>
  <si>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</si>
  <si>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</si>
  <si>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</si>
  <si>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</si>
  <si>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</si>
  <si>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</si>
  <si>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</si>
  <si>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</si>
  <si>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</si>
  <si>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</si>
  <si>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</si>
  <si>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</si>
  <si>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</si>
  <si>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</si>
  <si>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</si>
  <si>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</si>
  <si>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</si>
  <si>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</si>
  <si>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</si>
  <si>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</si>
  <si>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</si>
  <si>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</si>
  <si>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</si>
  <si>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</si>
  <si>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</si>
  <si>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</si>
  <si>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</si>
  <si>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</si>
  <si>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</si>
  <si>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</si>
  <si>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</si>
  <si>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</si>
  <si>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</si>
  <si>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</si>
  <si>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</si>
  <si>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</si>
  <si>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</si>
  <si>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</si>
  <si>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</si>
  <si>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</si>
  <si>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</si>
  <si>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</si>
  <si>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</si>
  <si>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</si>
  <si>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</si>
  <si>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</si>
  <si>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</si>
  <si>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</si>
  <si>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</si>
  <si>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</si>
  <si>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</si>
  <si>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</si>
  <si>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</si>
  <si>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</si>
  <si>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</si>
  <si>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</si>
  <si>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</si>
  <si>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</si>
  <si>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</si>
  <si>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</si>
  <si>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</si>
  <si>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</si>
  <si>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</si>
  <si>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</si>
  <si>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</si>
  <si>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</si>
  <si>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</si>
  <si>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</si>
  <si>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</si>
  <si>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</si>
  <si>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</si>
  <si>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</si>
  <si>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</si>
  <si>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</si>
  <si>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</si>
  <si>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</si>
  <si>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</si>
  <si>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</si>
  <si>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</si>
  <si>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</si>
  <si>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</si>
  <si>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</si>
  <si>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</si>
  <si>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</si>
  <si>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</si>
  <si>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</si>
  <si>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</si>
  <si>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</si>
  <si>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</si>
  <si>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</si>
  <si>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</si>
  <si>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</si>
  <si>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</si>
  <si>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</si>
  <si>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</si>
  <si>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</si>
  <si>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</si>
  <si>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</si>
  <si>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</si>
  <si>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</si>
  <si>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</si>
  <si>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</si>
  <si>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</si>
  <si>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</si>
  <si>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</si>
  <si>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</si>
  <si>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</si>
  <si>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</si>
  <si>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</si>
  <si>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</si>
  <si>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</si>
  <si>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</si>
  <si>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</si>
  <si>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</si>
  <si>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</si>
  <si>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</si>
  <si>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</si>
  <si>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</si>
  <si>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</si>
  <si>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</si>
  <si>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</si>
  <si>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</si>
  <si>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</si>
  <si>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</si>
  <si>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</si>
  <si>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</si>
  <si>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</si>
  <si>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</si>
  <si>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</si>
  <si>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</si>
  <si>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</si>
  <si>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</si>
  <si>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</si>
  <si>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</si>
  <si>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</si>
  <si>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</si>
  <si>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</si>
  <si>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</si>
  <si>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</si>
  <si>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</si>
  <si>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</si>
  <si>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</si>
  <si>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</si>
  <si>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</si>
  <si>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</si>
  <si>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</si>
  <si>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</si>
  <si>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</si>
  <si>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</si>
  <si>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</si>
  <si>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</si>
  <si>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</si>
  <si>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</si>
  <si>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</si>
  <si>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</si>
  <si>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</si>
  <si>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</si>
  <si>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</si>
  <si>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</si>
  <si>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</si>
  <si>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</si>
  <si>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</si>
  <si>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</si>
  <si>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</si>
  <si>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</si>
  <si>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</si>
  <si>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</si>
  <si>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</si>
  <si>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</si>
  <si>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</si>
  <si>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</si>
  <si>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</si>
  <si>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</si>
  <si>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</si>
  <si>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</si>
  <si>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</si>
  <si>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</si>
  <si>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</si>
  <si>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</si>
  <si>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</si>
  <si>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</si>
  <si>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</si>
  <si>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</si>
  <si>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</si>
  <si>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</si>
  <si>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</si>
  <si>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</si>
  <si>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</si>
  <si>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</si>
  <si>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</si>
  <si>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</si>
  <si>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</si>
  <si>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</si>
  <si>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</si>
  <si>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</si>
  <si>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</si>
  <si>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</si>
  <si>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</si>
  <si>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</si>
  <si>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</si>
  <si>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</si>
  <si>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</si>
  <si>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</si>
  <si>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</si>
  <si>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</si>
  <si>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</si>
  <si>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</si>
  <si>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</si>
  <si>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</si>
  <si>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</si>
  <si>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</si>
  <si>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</si>
  <si>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</si>
  <si>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</si>
  <si>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</si>
  <si>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</si>
  <si>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</si>
  <si>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</si>
  <si>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</si>
  <si>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</si>
  <si>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</si>
  <si>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</si>
  <si>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</si>
  <si>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</si>
  <si>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</si>
  <si>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</si>
  <si>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</si>
  <si>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</si>
  <si>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</si>
  <si>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</si>
  <si>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</si>
  <si>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</si>
  <si>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</si>
  <si>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</si>
  <si>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</si>
  <si>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</si>
  <si>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</si>
  <si>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</si>
  <si>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</si>
  <si>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</si>
  <si>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</si>
  <si>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</si>
  <si>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</si>
  <si>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</si>
  <si>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</si>
  <si>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</si>
  <si>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</si>
  <si>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</si>
  <si>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</si>
  <si>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</si>
  <si>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</si>
  <si>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</si>
  <si>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</si>
  <si>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</si>
  <si>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</si>
  <si>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</si>
  <si>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</si>
  <si>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</si>
  <si>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</si>
  <si>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</si>
  <si>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</si>
  <si>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</si>
  <si>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</si>
  <si>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</si>
  <si>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</si>
  <si>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</si>
  <si>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</si>
  <si>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</si>
  <si>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</si>
  <si>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</si>
  <si>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</si>
  <si>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</si>
  <si>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</si>
  <si>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</si>
  <si>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</si>
  <si>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</si>
  <si>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</si>
  <si>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</si>
  <si>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</si>
  <si>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</si>
  <si>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</si>
  <si>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</si>
  <si>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</si>
  <si>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</si>
  <si>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</si>
  <si>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</si>
  <si>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</si>
  <si>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</si>
  <si>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</si>
  <si>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</si>
  <si>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</si>
  <si>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</si>
  <si>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</si>
  <si>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</si>
  <si>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</si>
  <si>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</si>
  <si>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</si>
  <si>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</si>
  <si>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</si>
  <si>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</si>
  <si>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</si>
  <si>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</si>
  <si>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</si>
  <si>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</si>
  <si>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</si>
  <si>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</si>
  <si>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</si>
  <si>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</si>
  <si>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</si>
  <si>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</si>
  <si>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</si>
  <si>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</si>
  <si>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</si>
  <si>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</si>
  <si>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</si>
  <si>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</si>
  <si>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</si>
  <si>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</si>
  <si>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</si>
  <si>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</si>
  <si>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</si>
  <si>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</si>
  <si>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</si>
  <si>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</si>
  <si>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</si>
  <si>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</si>
  <si>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</si>
  <si>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</si>
  <si>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</si>
  <si>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</si>
  <si>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</si>
  <si>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</si>
  <si>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</si>
  <si>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</si>
  <si>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</si>
  <si>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</si>
  <si>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</si>
  <si>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</si>
  <si>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</si>
  <si>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</si>
  <si>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</si>
  <si>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</si>
  <si>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</si>
  <si>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</si>
  <si>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</si>
  <si>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</si>
  <si>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</si>
  <si>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</si>
  <si>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</si>
  <si>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</si>
  <si>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</si>
  <si>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</si>
  <si>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</si>
  <si>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</si>
  <si>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</si>
  <si>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</si>
  <si>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</si>
  <si>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</si>
  <si>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</si>
  <si>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</si>
  <si>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</si>
  <si>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</si>
  <si>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</si>
  <si>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</si>
  <si>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</si>
  <si>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</si>
  <si>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</si>
  <si>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</si>
  <si>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</si>
  <si>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</si>
  <si>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</si>
  <si>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</si>
  <si>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</si>
  <si>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</si>
  <si>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</si>
  <si>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</si>
  <si>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</si>
  <si>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</si>
  <si>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</si>
  <si>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</si>
  <si>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</si>
  <si>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</si>
  <si>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Wilton-Lyndeborough Cooperative S.D.</t>
  </si>
  <si>
    <t>Audit Adj. P/Y Inc. Fund Equity Food Service</t>
  </si>
  <si>
    <t>Audit Adj. P/Y Inc. Fund Equity General</t>
  </si>
  <si>
    <t>Fund 21 Prior year expense not reported on DOE audit adj.</t>
  </si>
  <si>
    <t>Gen Fund Prior year expense not reported on DOE audit adj.</t>
  </si>
  <si>
    <t>Audit adj. inc. encumbrance $14982; writeoff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</si>
</sst>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A02A-725B-4351-9540-6FCFE9B74A9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5" t="s">
        <v>894</v>
      </c>
      <c r="B2" s="21">
        <v>572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304</v>
      </c>
      <c r="G6" s="225" t="s">
        <v>305</v>
      </c>
      <c r="H6" s="225" t="s">
        <v>306</v>
      </c>
      <c r="I6" s="225" t="s">
        <v>307</v>
      </c>
      <c r="J6" s="225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5"/>
      <c r="G7" s="226"/>
      <c r="H7" s="225" t="s">
        <v>803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278900.15000000002</v>
      </c>
      <c r="G9" s="18">
        <v>26995.56</v>
      </c>
      <c r="H9" s="18"/>
      <c r="I9" s="18"/>
      <c r="J9" s="67">
        <f>SUM(I431)</f>
        <v>268920.40999999997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117680.92</v>
      </c>
      <c r="G12" s="18"/>
      <c r="H12" s="18">
        <v>47.3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1947.21</v>
      </c>
      <c r="H13" s="18">
        <v>103578.03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4650.25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401231.32</v>
      </c>
      <c r="G19" s="41">
        <f>SUM(G9:G18)</f>
        <v>28942.77</v>
      </c>
      <c r="H19" s="41">
        <f>SUM(H9:H18)</f>
        <v>103625.33</v>
      </c>
      <c r="I19" s="41">
        <f>SUM(I9:I18)</f>
        <v>0</v>
      </c>
      <c r="J19" s="41">
        <f>SUM(J9:J18)</f>
        <v>268920.40999999997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47.3</v>
      </c>
      <c r="G23" s="18">
        <v>14102.89</v>
      </c>
      <c r="H23" s="18">
        <v>103578.03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56476.35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6007.73</v>
      </c>
      <c r="G25" s="18"/>
      <c r="H25" s="18">
        <v>47.3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1380.61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62531.380000000005</v>
      </c>
      <c r="G33" s="41">
        <f>SUM(G23:G32)</f>
        <v>15483.5</v>
      </c>
      <c r="H33" s="41">
        <f>SUM(H23:H32)</f>
        <v>103625.33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165154.53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2225.6799999999998</v>
      </c>
      <c r="G41" s="18">
        <v>13459.27</v>
      </c>
      <c r="H41" s="18"/>
      <c r="I41" s="18"/>
      <c r="J41" s="13">
        <f>SUM(I449)</f>
        <v>268920.40999999997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171319.73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338699.94</v>
      </c>
      <c r="G43" s="41">
        <f>SUM(G35:G42)</f>
        <v>13459.27</v>
      </c>
      <c r="H43" s="41">
        <f>SUM(H35:H42)</f>
        <v>0</v>
      </c>
      <c r="I43" s="41">
        <f>SUM(I35:I42)</f>
        <v>0</v>
      </c>
      <c r="J43" s="41">
        <f>SUM(J35:J42)</f>
        <v>268920.40999999997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401231.32</v>
      </c>
      <c r="G44" s="41">
        <f>G43+G33</f>
        <v>28942.77</v>
      </c>
      <c r="H44" s="41">
        <f>H43+H33</f>
        <v>103625.33</v>
      </c>
      <c r="I44" s="41">
        <f>I43+I33</f>
        <v>0</v>
      </c>
      <c r="J44" s="41">
        <f>J43+J33</f>
        <v>268920.40999999997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7307047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23086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7330133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3745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11860.74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15605.74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4714.45</v>
      </c>
      <c r="G88" s="18"/>
      <c r="H88" s="18"/>
      <c r="I88" s="18"/>
      <c r="J88" s="18">
        <v>310.39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110769.22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125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2880.18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12326.62</v>
      </c>
      <c r="G101" s="18">
        <v>1539.91</v>
      </c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111864.12</v>
      </c>
      <c r="G102" s="18">
        <v>8322.7099999999991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131910.37</v>
      </c>
      <c r="G103" s="41">
        <f>SUM(G88:G102)</f>
        <v>120631.84</v>
      </c>
      <c r="H103" s="41">
        <f>SUM(H88:H102)</f>
        <v>0</v>
      </c>
      <c r="I103" s="41">
        <f>SUM(I88:I102)</f>
        <v>0</v>
      </c>
      <c r="J103" s="41">
        <f>SUM(J88:J102)</f>
        <v>310.39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7477649.1100000003</v>
      </c>
      <c r="G104" s="41">
        <f>G52+G103</f>
        <v>120631.84</v>
      </c>
      <c r="H104" s="41">
        <f>H52+H71+H86+H103</f>
        <v>0</v>
      </c>
      <c r="I104" s="41">
        <f>I52+I103</f>
        <v>0</v>
      </c>
      <c r="J104" s="41">
        <f>J52+J103</f>
        <v>310.39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1639959.15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1313734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59480.85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3013174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130000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51750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153996.42000000001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1640.8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2516.35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9900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347287.22000000003</v>
      </c>
      <c r="G128" s="41">
        <f>SUM(G115:G127)</f>
        <v>2516.35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2500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3360461.22</v>
      </c>
      <c r="G132" s="41">
        <f>G113+SUM(G128:G129)</f>
        <v>2516.35</v>
      </c>
      <c r="H132" s="41">
        <f>H113+SUM(H128:H131)</f>
        <v>2500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4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42694.53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137648.07999999999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41130.78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67376.91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189310.86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70767.11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70767.11</v>
      </c>
      <c r="G154" s="41">
        <f>SUM(G142:G153)</f>
        <v>67376.91</v>
      </c>
      <c r="H154" s="41">
        <f>SUM(H142:H153)</f>
        <v>410784.25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70767.11</v>
      </c>
      <c r="G161" s="41">
        <f>G139+G154+SUM(G155:G160)</f>
        <v>67376.91</v>
      </c>
      <c r="H161" s="41">
        <f>H139+H154+SUM(H155:H160)</f>
        <v>410784.25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4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98000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98000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121194.95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121194.95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121194.95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98000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11030072.389999999</v>
      </c>
      <c r="G185" s="47">
        <f>G104+G132+G161+G184</f>
        <v>190525.1</v>
      </c>
      <c r="H185" s="47">
        <f>H104+H132+H161+H184</f>
        <v>413284.25</v>
      </c>
      <c r="I185" s="47">
        <f>I104+I132+I161+I184</f>
        <v>0</v>
      </c>
      <c r="J185" s="47">
        <f>J104+J132+J184</f>
        <v>98310.39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6" t="s">
        <v>724</v>
      </c>
      <c r="G186" s="176" t="s">
        <v>725</v>
      </c>
      <c r="H186" s="176" t="s">
        <v>726</v>
      </c>
      <c r="I186" s="176" t="s">
        <v>727</v>
      </c>
      <c r="J186" s="176" t="s">
        <v>728</v>
      </c>
      <c r="K186" s="176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1233473.5</v>
      </c>
      <c r="G189" s="18">
        <v>488316.27</v>
      </c>
      <c r="H189" s="18">
        <v>61774.9</v>
      </c>
      <c r="I189" s="18">
        <v>51824.23</v>
      </c>
      <c r="J189" s="18">
        <v>1990.93</v>
      </c>
      <c r="K189" s="18">
        <v>2440</v>
      </c>
      <c r="L189" s="19">
        <f>SUM(F189:K189)</f>
        <v>1839819.8299999998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494031.5</v>
      </c>
      <c r="G190" s="18">
        <v>131330.20000000001</v>
      </c>
      <c r="H190" s="18">
        <v>342440.89</v>
      </c>
      <c r="I190" s="18">
        <v>4368.54</v>
      </c>
      <c r="J190" s="18">
        <v>1588.77</v>
      </c>
      <c r="K190" s="18">
        <v>1419.61</v>
      </c>
      <c r="L190" s="19">
        <f>SUM(F190:K190)</f>
        <v>975179.51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0</v>
      </c>
      <c r="G192" s="18">
        <v>221.43</v>
      </c>
      <c r="H192" s="18"/>
      <c r="I192" s="18"/>
      <c r="J192" s="18"/>
      <c r="K192" s="18">
        <v>4450</v>
      </c>
      <c r="L192" s="19">
        <f>SUM(F192:K192)</f>
        <v>4671.43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127136.05</v>
      </c>
      <c r="G194" s="18">
        <v>51118.05</v>
      </c>
      <c r="H194" s="18">
        <v>317863.65000000002</v>
      </c>
      <c r="I194" s="18">
        <v>3312.84</v>
      </c>
      <c r="J194" s="18">
        <v>184.55</v>
      </c>
      <c r="K194" s="18">
        <v>135</v>
      </c>
      <c r="L194" s="19">
        <f t="shared" ref="L194:L200" si="0">SUM(F194:K194)</f>
        <v>499750.14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40446.239999999998</v>
      </c>
      <c r="G195" s="18">
        <v>26562.36</v>
      </c>
      <c r="H195" s="18">
        <v>2091.5</v>
      </c>
      <c r="I195" s="18">
        <v>5307.03</v>
      </c>
      <c r="J195" s="18">
        <v>220.92</v>
      </c>
      <c r="K195" s="18"/>
      <c r="L195" s="19">
        <f t="shared" si="0"/>
        <v>74628.05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126547.92</v>
      </c>
      <c r="G196" s="18">
        <v>54877.32</v>
      </c>
      <c r="H196" s="18">
        <v>54869.48</v>
      </c>
      <c r="I196" s="18">
        <v>5021.26</v>
      </c>
      <c r="J196" s="18">
        <v>416</v>
      </c>
      <c r="K196" s="18">
        <v>3603.92</v>
      </c>
      <c r="L196" s="19">
        <f t="shared" si="0"/>
        <v>245335.90000000002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212391.7</v>
      </c>
      <c r="G197" s="18">
        <v>56327.72</v>
      </c>
      <c r="H197" s="18">
        <v>27336.14</v>
      </c>
      <c r="I197" s="18">
        <v>1638.23</v>
      </c>
      <c r="J197" s="18">
        <v>0</v>
      </c>
      <c r="K197" s="18">
        <v>3339.33</v>
      </c>
      <c r="L197" s="19">
        <f t="shared" si="0"/>
        <v>301033.12000000005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76803.88</v>
      </c>
      <c r="G198" s="18">
        <v>37867.64</v>
      </c>
      <c r="H198" s="18">
        <v>4413.8100000000004</v>
      </c>
      <c r="I198" s="18">
        <v>3069.89</v>
      </c>
      <c r="J198" s="18">
        <v>785.36</v>
      </c>
      <c r="K198" s="18">
        <v>13369.5</v>
      </c>
      <c r="L198" s="19">
        <f t="shared" si="0"/>
        <v>136310.08000000002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104942.39999999999</v>
      </c>
      <c r="G199" s="18">
        <v>29927.26</v>
      </c>
      <c r="H199" s="18">
        <v>137084.99</v>
      </c>
      <c r="I199" s="18">
        <v>117777.21</v>
      </c>
      <c r="J199" s="18">
        <v>916.6</v>
      </c>
      <c r="K199" s="18"/>
      <c r="L199" s="19">
        <f t="shared" si="0"/>
        <v>390648.46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247478.79</v>
      </c>
      <c r="I200" s="18"/>
      <c r="J200" s="18"/>
      <c r="K200" s="18"/>
      <c r="L200" s="19">
        <f t="shared" si="0"/>
        <v>247478.79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29544.74</v>
      </c>
      <c r="G201" s="18">
        <v>4952.54</v>
      </c>
      <c r="H201" s="18">
        <v>385.54</v>
      </c>
      <c r="I201" s="18">
        <v>1992.15</v>
      </c>
      <c r="J201" s="18">
        <v>2115.1799999999998</v>
      </c>
      <c r="K201" s="18"/>
      <c r="L201" s="19">
        <f>SUM(F201:K201)</f>
        <v>38990.15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2445317.9300000002</v>
      </c>
      <c r="G203" s="41">
        <f t="shared" si="1"/>
        <v>881500.79</v>
      </c>
      <c r="H203" s="41">
        <f t="shared" si="1"/>
        <v>1195739.6900000002</v>
      </c>
      <c r="I203" s="41">
        <f t="shared" si="1"/>
        <v>194311.37999999998</v>
      </c>
      <c r="J203" s="41">
        <f t="shared" si="1"/>
        <v>8218.31</v>
      </c>
      <c r="K203" s="41">
        <f t="shared" si="1"/>
        <v>28757.360000000001</v>
      </c>
      <c r="L203" s="41">
        <f t="shared" si="1"/>
        <v>4753845.4600000009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6" t="s">
        <v>724</v>
      </c>
      <c r="G204" s="176" t="s">
        <v>725</v>
      </c>
      <c r="H204" s="176" t="s">
        <v>726</v>
      </c>
      <c r="I204" s="176" t="s">
        <v>727</v>
      </c>
      <c r="J204" s="176" t="s">
        <v>728</v>
      </c>
      <c r="K204" s="176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477233.24</v>
      </c>
      <c r="G207" s="18">
        <v>178519.9</v>
      </c>
      <c r="H207" s="18">
        <v>5142.45</v>
      </c>
      <c r="I207" s="18">
        <v>37958.839999999997</v>
      </c>
      <c r="J207" s="18">
        <v>11723.11</v>
      </c>
      <c r="K207" s="18"/>
      <c r="L207" s="19">
        <f>SUM(F207:K207)</f>
        <v>710577.53999999992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174494.2</v>
      </c>
      <c r="G208" s="18">
        <v>58657.58</v>
      </c>
      <c r="H208" s="18">
        <v>125541.25</v>
      </c>
      <c r="I208" s="18">
        <v>2976.17</v>
      </c>
      <c r="J208" s="18">
        <v>380.34</v>
      </c>
      <c r="K208" s="18">
        <v>3228.87</v>
      </c>
      <c r="L208" s="19">
        <f>SUM(F208:K208)</f>
        <v>365278.41000000003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24009.21</v>
      </c>
      <c r="G210" s="18">
        <v>3845.77</v>
      </c>
      <c r="H210" s="18">
        <v>7708.37</v>
      </c>
      <c r="I210" s="18">
        <v>1251.6600000000001</v>
      </c>
      <c r="J210" s="18">
        <v>2340.46</v>
      </c>
      <c r="K210" s="18">
        <v>3309.29</v>
      </c>
      <c r="L210" s="19">
        <f>SUM(F210:K210)</f>
        <v>42464.76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97099.77</v>
      </c>
      <c r="G212" s="18">
        <v>41312.379999999997</v>
      </c>
      <c r="H212" s="18">
        <v>37861.550000000003</v>
      </c>
      <c r="I212" s="18">
        <v>1029.3399999999999</v>
      </c>
      <c r="J212" s="18">
        <v>1624.38</v>
      </c>
      <c r="K212" s="18">
        <v>334</v>
      </c>
      <c r="L212" s="19">
        <f t="shared" ref="L212:L218" si="2">SUM(F212:K212)</f>
        <v>179261.42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33078.81</v>
      </c>
      <c r="G213" s="18">
        <v>21851.91</v>
      </c>
      <c r="H213" s="18">
        <v>570.79999999999995</v>
      </c>
      <c r="I213" s="18">
        <v>5060.3999999999996</v>
      </c>
      <c r="J213" s="18">
        <v>768.17</v>
      </c>
      <c r="K213" s="18">
        <v>18</v>
      </c>
      <c r="L213" s="19">
        <f t="shared" si="2"/>
        <v>61348.090000000004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44676.85</v>
      </c>
      <c r="G214" s="18">
        <v>17574.79</v>
      </c>
      <c r="H214" s="18">
        <v>17909.349999999999</v>
      </c>
      <c r="I214" s="18">
        <v>1508.92</v>
      </c>
      <c r="J214" s="18">
        <v>133.12</v>
      </c>
      <c r="K214" s="18">
        <v>1826.86</v>
      </c>
      <c r="L214" s="19">
        <f t="shared" si="2"/>
        <v>83629.889999999985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141448.29999999999</v>
      </c>
      <c r="G215" s="18">
        <v>38506.46</v>
      </c>
      <c r="H215" s="18">
        <v>9826.0300000000007</v>
      </c>
      <c r="I215" s="18">
        <v>912.61</v>
      </c>
      <c r="J215" s="18">
        <v>413.59</v>
      </c>
      <c r="K215" s="18">
        <v>3237.28</v>
      </c>
      <c r="L215" s="19">
        <f t="shared" si="2"/>
        <v>194344.26999999996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24577.919999999998</v>
      </c>
      <c r="G216" s="18">
        <v>12117.89</v>
      </c>
      <c r="H216" s="18">
        <v>1249.22</v>
      </c>
      <c r="I216" s="18">
        <v>958.46</v>
      </c>
      <c r="J216" s="18">
        <v>251.32</v>
      </c>
      <c r="K216" s="18">
        <v>4278.24</v>
      </c>
      <c r="L216" s="19">
        <f t="shared" si="2"/>
        <v>43433.049999999996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50774.28</v>
      </c>
      <c r="G217" s="18">
        <v>22363.95</v>
      </c>
      <c r="H217" s="18">
        <v>53570.95</v>
      </c>
      <c r="I217" s="18">
        <v>53320.25</v>
      </c>
      <c r="J217" s="18">
        <v>2277.33</v>
      </c>
      <c r="K217" s="18"/>
      <c r="L217" s="19">
        <f t="shared" si="2"/>
        <v>182306.75999999998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63906.46</v>
      </c>
      <c r="I218" s="18"/>
      <c r="J218" s="18"/>
      <c r="K218" s="18"/>
      <c r="L218" s="19">
        <f t="shared" si="2"/>
        <v>63906.46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20983.39</v>
      </c>
      <c r="G219" s="18">
        <v>6632.72</v>
      </c>
      <c r="H219" s="18">
        <v>1347.72</v>
      </c>
      <c r="I219" s="18">
        <v>75.86</v>
      </c>
      <c r="J219" s="18"/>
      <c r="K219" s="18"/>
      <c r="L219" s="19">
        <f>SUM(F219:K219)</f>
        <v>29039.690000000002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1088375.9699999997</v>
      </c>
      <c r="G221" s="41">
        <f>SUM(G207:G220)</f>
        <v>401383.34999999992</v>
      </c>
      <c r="H221" s="41">
        <f>SUM(H207:H220)</f>
        <v>324634.14999999997</v>
      </c>
      <c r="I221" s="41">
        <f>SUM(I207:I220)</f>
        <v>105052.51</v>
      </c>
      <c r="J221" s="41">
        <f>SUM(J207:J220)</f>
        <v>19911.82</v>
      </c>
      <c r="K221" s="41">
        <f t="shared" si="3"/>
        <v>16232.54</v>
      </c>
      <c r="L221" s="41">
        <f t="shared" si="3"/>
        <v>1955590.3399999999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6" t="s">
        <v>724</v>
      </c>
      <c r="G222" s="176" t="s">
        <v>725</v>
      </c>
      <c r="H222" s="176" t="s">
        <v>726</v>
      </c>
      <c r="I222" s="176" t="s">
        <v>727</v>
      </c>
      <c r="J222" s="176" t="s">
        <v>728</v>
      </c>
      <c r="K222" s="176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1124608.1399999999</v>
      </c>
      <c r="G225" s="18">
        <v>380664.5</v>
      </c>
      <c r="H225" s="18">
        <v>14918.67</v>
      </c>
      <c r="I225" s="18">
        <v>42583.839999999997</v>
      </c>
      <c r="J225" s="18">
        <v>17619.939999999999</v>
      </c>
      <c r="K225" s="18"/>
      <c r="L225" s="19">
        <f>SUM(F225:K225)</f>
        <v>1580395.0899999999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137958.20000000001</v>
      </c>
      <c r="G226" s="18">
        <v>47120.61</v>
      </c>
      <c r="H226" s="18">
        <v>348526.35</v>
      </c>
      <c r="I226" s="18">
        <v>4989.22</v>
      </c>
      <c r="J226" s="18">
        <v>614.91</v>
      </c>
      <c r="K226" s="18"/>
      <c r="L226" s="19">
        <f>SUM(F226:K226)</f>
        <v>539209.28999999992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26769.85</v>
      </c>
      <c r="I227" s="18"/>
      <c r="J227" s="18"/>
      <c r="K227" s="18"/>
      <c r="L227" s="19">
        <f>SUM(F227:K227)</f>
        <v>26769.85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52391.98</v>
      </c>
      <c r="G228" s="18">
        <v>7085.11</v>
      </c>
      <c r="H228" s="18">
        <v>21313.49</v>
      </c>
      <c r="I228" s="18">
        <v>1877.49</v>
      </c>
      <c r="J228" s="18">
        <v>3510.69</v>
      </c>
      <c r="K228" s="18">
        <v>4888.9399999999996</v>
      </c>
      <c r="L228" s="19">
        <f>SUM(F228:K228)</f>
        <v>91067.700000000012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90664.78</v>
      </c>
      <c r="G230" s="18">
        <v>45799.43</v>
      </c>
      <c r="H230" s="18">
        <v>80572.44</v>
      </c>
      <c r="I230" s="18">
        <v>1543.83</v>
      </c>
      <c r="J230" s="18">
        <v>2820.61</v>
      </c>
      <c r="K230" s="18">
        <v>501</v>
      </c>
      <c r="L230" s="19">
        <f t="shared" ref="L230:L236" si="4">SUM(F230:K230)</f>
        <v>221902.08999999997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53186.69</v>
      </c>
      <c r="G231" s="18">
        <v>35627.17</v>
      </c>
      <c r="H231" s="18">
        <v>856.2</v>
      </c>
      <c r="I231" s="18">
        <v>7590.57</v>
      </c>
      <c r="J231" s="18">
        <v>1152.24</v>
      </c>
      <c r="K231" s="18">
        <v>27</v>
      </c>
      <c r="L231" s="19">
        <f t="shared" si="4"/>
        <v>98439.87000000001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91920.06</v>
      </c>
      <c r="G232" s="18">
        <v>37306.36</v>
      </c>
      <c r="H232" s="18">
        <v>33884.269999999997</v>
      </c>
      <c r="I232" s="18">
        <v>3065.94</v>
      </c>
      <c r="J232" s="18">
        <v>282.88</v>
      </c>
      <c r="K232" s="18">
        <v>1069.31</v>
      </c>
      <c r="L232" s="19">
        <f t="shared" si="4"/>
        <v>167528.82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84672.55</v>
      </c>
      <c r="G233" s="18">
        <v>37837.440000000002</v>
      </c>
      <c r="H233" s="18">
        <v>14858.98</v>
      </c>
      <c r="I233" s="18">
        <v>1368.92</v>
      </c>
      <c r="J233" s="18">
        <v>620.38</v>
      </c>
      <c r="K233" s="18">
        <v>6750.01</v>
      </c>
      <c r="L233" s="19">
        <f t="shared" si="4"/>
        <v>146108.28000000003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52226.96</v>
      </c>
      <c r="G234" s="18">
        <v>25749.75</v>
      </c>
      <c r="H234" s="18">
        <v>2654.59</v>
      </c>
      <c r="I234" s="18">
        <v>1979.15</v>
      </c>
      <c r="J234" s="18">
        <v>534.04</v>
      </c>
      <c r="K234" s="18">
        <v>9091.26</v>
      </c>
      <c r="L234" s="19">
        <f t="shared" si="4"/>
        <v>92235.749999999971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75387.039999999994</v>
      </c>
      <c r="G235" s="18">
        <v>32811.64</v>
      </c>
      <c r="H235" s="18">
        <v>83104.56</v>
      </c>
      <c r="I235" s="18">
        <v>79980.600000000006</v>
      </c>
      <c r="J235" s="18">
        <v>3415.98</v>
      </c>
      <c r="K235" s="18"/>
      <c r="L235" s="19">
        <f t="shared" si="4"/>
        <v>274699.81999999995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195393.9</v>
      </c>
      <c r="I236" s="18"/>
      <c r="J236" s="18"/>
      <c r="K236" s="18"/>
      <c r="L236" s="19">
        <f t="shared" si="4"/>
        <v>195393.9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31474.76</v>
      </c>
      <c r="G237" s="18">
        <v>9949.0499999999993</v>
      </c>
      <c r="H237" s="18">
        <v>2042.83</v>
      </c>
      <c r="I237" s="18">
        <v>113.78</v>
      </c>
      <c r="J237" s="18"/>
      <c r="K237" s="18"/>
      <c r="L237" s="19">
        <f>SUM(F237:K237)</f>
        <v>43580.42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1794491.16</v>
      </c>
      <c r="G239" s="41">
        <f t="shared" si="5"/>
        <v>659951.05999999994</v>
      </c>
      <c r="H239" s="41">
        <f t="shared" si="5"/>
        <v>824896.12999999989</v>
      </c>
      <c r="I239" s="41">
        <f t="shared" si="5"/>
        <v>145093.34</v>
      </c>
      <c r="J239" s="41">
        <f t="shared" si="5"/>
        <v>30571.670000000002</v>
      </c>
      <c r="K239" s="41">
        <f t="shared" si="5"/>
        <v>22327.52</v>
      </c>
      <c r="L239" s="41">
        <f t="shared" si="5"/>
        <v>3477330.88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6" t="s">
        <v>724</v>
      </c>
      <c r="G240" s="176" t="s">
        <v>725</v>
      </c>
      <c r="H240" s="176" t="s">
        <v>726</v>
      </c>
      <c r="I240" s="176" t="s">
        <v>727</v>
      </c>
      <c r="J240" s="176" t="s">
        <v>728</v>
      </c>
      <c r="K240" s="176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155542.70000000001</v>
      </c>
      <c r="I247" s="18"/>
      <c r="J247" s="18"/>
      <c r="K247" s="18"/>
      <c r="L247" s="19">
        <f t="shared" si="6"/>
        <v>155542.70000000001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155542.70000000001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155542.70000000001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5328185.0599999996</v>
      </c>
      <c r="G249" s="41">
        <f t="shared" si="8"/>
        <v>1942835.1999999997</v>
      </c>
      <c r="H249" s="41">
        <f t="shared" si="8"/>
        <v>2500812.67</v>
      </c>
      <c r="I249" s="41">
        <f t="shared" si="8"/>
        <v>444457.23</v>
      </c>
      <c r="J249" s="41">
        <f t="shared" si="8"/>
        <v>58701.8</v>
      </c>
      <c r="K249" s="41">
        <f t="shared" si="8"/>
        <v>67317.42</v>
      </c>
      <c r="L249" s="41">
        <f t="shared" si="8"/>
        <v>10342309.379999999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325000</v>
      </c>
      <c r="L252" s="19">
        <f>SUM(F252:K252)</f>
        <v>325000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161044</v>
      </c>
      <c r="L253" s="19">
        <f>SUM(F253:K253)</f>
        <v>161044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98000</v>
      </c>
      <c r="L258" s="19">
        <f t="shared" si="9"/>
        <v>98000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584044</v>
      </c>
      <c r="L262" s="41">
        <f t="shared" si="9"/>
        <v>584044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5328185.0599999996</v>
      </c>
      <c r="G263" s="42">
        <f t="shared" si="11"/>
        <v>1942835.1999999997</v>
      </c>
      <c r="H263" s="42">
        <f t="shared" si="11"/>
        <v>2500812.67</v>
      </c>
      <c r="I263" s="42">
        <f t="shared" si="11"/>
        <v>444457.23</v>
      </c>
      <c r="J263" s="42">
        <f t="shared" si="11"/>
        <v>58701.8</v>
      </c>
      <c r="K263" s="42">
        <f t="shared" si="11"/>
        <v>651361.42000000004</v>
      </c>
      <c r="L263" s="42">
        <f t="shared" si="11"/>
        <v>10926353.379999999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6" t="s">
        <v>724</v>
      </c>
      <c r="G265" s="176" t="s">
        <v>725</v>
      </c>
      <c r="H265" s="176" t="s">
        <v>726</v>
      </c>
      <c r="I265" s="176" t="s">
        <v>727</v>
      </c>
      <c r="J265" s="176" t="s">
        <v>728</v>
      </c>
      <c r="K265" s="176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39971.9</v>
      </c>
      <c r="G268" s="18">
        <v>3189.41</v>
      </c>
      <c r="H268" s="18">
        <v>8914.43</v>
      </c>
      <c r="I268" s="18">
        <v>1492.23</v>
      </c>
      <c r="J268" s="18"/>
      <c r="K268" s="18"/>
      <c r="L268" s="19">
        <f>SUM(F268:K268)</f>
        <v>53567.97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>
        <v>8692</v>
      </c>
      <c r="J269" s="18">
        <v>6479.7</v>
      </c>
      <c r="K269" s="18"/>
      <c r="L269" s="19">
        <f>SUM(F269:K269)</f>
        <v>15171.7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3420</v>
      </c>
      <c r="G271" s="18">
        <v>422.17</v>
      </c>
      <c r="H271" s="18"/>
      <c r="I271" s="18">
        <v>146.29</v>
      </c>
      <c r="J271" s="18"/>
      <c r="K271" s="18"/>
      <c r="L271" s="19">
        <f>SUM(F271:K271)</f>
        <v>3988.46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25759</v>
      </c>
      <c r="G273" s="18">
        <v>381.69</v>
      </c>
      <c r="H273" s="18">
        <v>57238.07</v>
      </c>
      <c r="I273" s="18">
        <v>313.5</v>
      </c>
      <c r="J273" s="18"/>
      <c r="K273" s="18"/>
      <c r="L273" s="19">
        <f t="shared" ref="L273:L279" si="12">SUM(F273:K273)</f>
        <v>83692.259999999995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36239.839999999997</v>
      </c>
      <c r="G274" s="18">
        <v>4712.6899999999996</v>
      </c>
      <c r="H274" s="18">
        <v>54691.76</v>
      </c>
      <c r="I274" s="18">
        <v>3540.92</v>
      </c>
      <c r="J274" s="18">
        <v>9639.1</v>
      </c>
      <c r="K274" s="18"/>
      <c r="L274" s="19">
        <f t="shared" si="12"/>
        <v>108824.31000000001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524.74</v>
      </c>
      <c r="I275" s="18">
        <v>1203.01</v>
      </c>
      <c r="J275" s="18"/>
      <c r="K275" s="18"/>
      <c r="L275" s="19">
        <f t="shared" si="12"/>
        <v>1727.75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105390.73999999999</v>
      </c>
      <c r="G282" s="42">
        <f t="shared" si="13"/>
        <v>8705.9599999999991</v>
      </c>
      <c r="H282" s="42">
        <f t="shared" si="13"/>
        <v>121369.00000000001</v>
      </c>
      <c r="I282" s="42">
        <f t="shared" si="13"/>
        <v>15387.95</v>
      </c>
      <c r="J282" s="42">
        <f t="shared" si="13"/>
        <v>16118.8</v>
      </c>
      <c r="K282" s="42">
        <f t="shared" si="13"/>
        <v>0</v>
      </c>
      <c r="L282" s="41">
        <f t="shared" si="13"/>
        <v>266972.45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6" t="s">
        <v>724</v>
      </c>
      <c r="G284" s="176" t="s">
        <v>725</v>
      </c>
      <c r="H284" s="176" t="s">
        <v>726</v>
      </c>
      <c r="I284" s="176" t="s">
        <v>727</v>
      </c>
      <c r="J284" s="176" t="s">
        <v>728</v>
      </c>
      <c r="K284" s="176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6713.96</v>
      </c>
      <c r="G287" s="18">
        <v>685.23</v>
      </c>
      <c r="H287" s="18">
        <v>2762.95</v>
      </c>
      <c r="I287" s="18">
        <v>462.51</v>
      </c>
      <c r="J287" s="18"/>
      <c r="K287" s="18"/>
      <c r="L287" s="19">
        <f>SUM(F287:K287)</f>
        <v>10624.65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>
        <v>475.26</v>
      </c>
      <c r="J288" s="18"/>
      <c r="K288" s="18"/>
      <c r="L288" s="19">
        <f>SUM(F288:K288)</f>
        <v>475.26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17511</v>
      </c>
      <c r="G292" s="18">
        <v>52.05</v>
      </c>
      <c r="H292" s="18">
        <v>12375.26</v>
      </c>
      <c r="I292" s="18">
        <v>75.849999999999994</v>
      </c>
      <c r="J292" s="18"/>
      <c r="K292" s="18"/>
      <c r="L292" s="19">
        <f t="shared" ref="L292:L298" si="14">SUM(F292:K292)</f>
        <v>30014.159999999996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4396.21</v>
      </c>
      <c r="G293" s="18">
        <v>642.64</v>
      </c>
      <c r="H293" s="18">
        <v>14474.34</v>
      </c>
      <c r="I293" s="18">
        <v>1112.52</v>
      </c>
      <c r="J293" s="18">
        <v>174.73</v>
      </c>
      <c r="K293" s="18"/>
      <c r="L293" s="19">
        <f t="shared" si="14"/>
        <v>20800.440000000002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71.56</v>
      </c>
      <c r="I294" s="18">
        <v>164.05</v>
      </c>
      <c r="J294" s="18"/>
      <c r="K294" s="18"/>
      <c r="L294" s="19">
        <f t="shared" si="14"/>
        <v>235.61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28621.17</v>
      </c>
      <c r="G301" s="42">
        <f t="shared" si="15"/>
        <v>1379.92</v>
      </c>
      <c r="H301" s="42">
        <f t="shared" si="15"/>
        <v>29684.11</v>
      </c>
      <c r="I301" s="42">
        <f t="shared" si="15"/>
        <v>2290.19</v>
      </c>
      <c r="J301" s="42">
        <f t="shared" si="15"/>
        <v>174.73</v>
      </c>
      <c r="K301" s="42">
        <f t="shared" si="15"/>
        <v>0</v>
      </c>
      <c r="L301" s="41">
        <f t="shared" si="15"/>
        <v>62150.119999999995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6" t="s">
        <v>724</v>
      </c>
      <c r="G303" s="176" t="s">
        <v>725</v>
      </c>
      <c r="H303" s="176" t="s">
        <v>726</v>
      </c>
      <c r="I303" s="176" t="s">
        <v>727</v>
      </c>
      <c r="J303" s="176" t="s">
        <v>728</v>
      </c>
      <c r="K303" s="176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5214.82</v>
      </c>
      <c r="G306" s="18">
        <v>778.13</v>
      </c>
      <c r="H306" s="18">
        <v>5838.69</v>
      </c>
      <c r="I306" s="18">
        <v>1177.3699999999999</v>
      </c>
      <c r="J306" s="18"/>
      <c r="K306" s="18"/>
      <c r="L306" s="19">
        <f>SUM(F306:K306)</f>
        <v>13009.009999999998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>
        <v>982.19</v>
      </c>
      <c r="J307" s="18"/>
      <c r="K307" s="18"/>
      <c r="L307" s="19">
        <f>SUM(F307:K307)</f>
        <v>982.19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300</v>
      </c>
      <c r="I309" s="18">
        <v>84.32</v>
      </c>
      <c r="J309" s="18"/>
      <c r="K309" s="18">
        <v>533.95000000000005</v>
      </c>
      <c r="L309" s="19">
        <f>SUM(F309:K309)</f>
        <v>918.27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24140</v>
      </c>
      <c r="G311" s="18"/>
      <c r="H311" s="18">
        <v>24419.46</v>
      </c>
      <c r="I311" s="18">
        <v>156.75</v>
      </c>
      <c r="J311" s="18"/>
      <c r="K311" s="18"/>
      <c r="L311" s="19">
        <f t="shared" ref="L311:L317" si="16">SUM(F311:K311)</f>
        <v>48716.21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18653.849999999999</v>
      </c>
      <c r="I312" s="18">
        <v>944.5</v>
      </c>
      <c r="J312" s="18"/>
      <c r="K312" s="18"/>
      <c r="L312" s="19">
        <f t="shared" si="16"/>
        <v>19598.349999999999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300</v>
      </c>
      <c r="I317" s="18">
        <v>580.86</v>
      </c>
      <c r="J317" s="18"/>
      <c r="K317" s="18"/>
      <c r="L317" s="19">
        <f t="shared" si="16"/>
        <v>880.86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29354.82</v>
      </c>
      <c r="G320" s="42">
        <f t="shared" si="17"/>
        <v>778.13</v>
      </c>
      <c r="H320" s="42">
        <f t="shared" si="17"/>
        <v>49512</v>
      </c>
      <c r="I320" s="42">
        <f t="shared" si="17"/>
        <v>3925.9900000000002</v>
      </c>
      <c r="J320" s="42">
        <f t="shared" si="17"/>
        <v>0</v>
      </c>
      <c r="K320" s="42">
        <f t="shared" si="17"/>
        <v>533.95000000000005</v>
      </c>
      <c r="L320" s="41">
        <f t="shared" si="17"/>
        <v>84104.89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6" t="s">
        <v>724</v>
      </c>
      <c r="G322" s="176" t="s">
        <v>725</v>
      </c>
      <c r="H322" s="176" t="s">
        <v>726</v>
      </c>
      <c r="I322" s="176" t="s">
        <v>727</v>
      </c>
      <c r="J322" s="176" t="s">
        <v>728</v>
      </c>
      <c r="K322" s="176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163366.72999999998</v>
      </c>
      <c r="G330" s="41">
        <f t="shared" si="20"/>
        <v>10864.009999999998</v>
      </c>
      <c r="H330" s="41">
        <f t="shared" si="20"/>
        <v>200565.11000000002</v>
      </c>
      <c r="I330" s="41">
        <f t="shared" si="20"/>
        <v>21604.13</v>
      </c>
      <c r="J330" s="41">
        <f t="shared" si="20"/>
        <v>16293.529999999999</v>
      </c>
      <c r="K330" s="41">
        <f t="shared" si="20"/>
        <v>533.95000000000005</v>
      </c>
      <c r="L330" s="41">
        <f t="shared" si="20"/>
        <v>413227.46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163366.72999999998</v>
      </c>
      <c r="G344" s="41">
        <f>G330</f>
        <v>10864.009999999998</v>
      </c>
      <c r="H344" s="41">
        <f>H330</f>
        <v>200565.11000000002</v>
      </c>
      <c r="I344" s="41">
        <f>I330</f>
        <v>21604.13</v>
      </c>
      <c r="J344" s="41">
        <f>J330</f>
        <v>16293.529999999999</v>
      </c>
      <c r="K344" s="47">
        <f>K330+K343</f>
        <v>533.95000000000005</v>
      </c>
      <c r="L344" s="41">
        <f>L330+L343</f>
        <v>413227.46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6" t="s">
        <v>724</v>
      </c>
      <c r="G346" s="176" t="s">
        <v>725</v>
      </c>
      <c r="H346" s="176" t="s">
        <v>726</v>
      </c>
      <c r="I346" s="176" t="s">
        <v>727</v>
      </c>
      <c r="J346" s="176" t="s">
        <v>728</v>
      </c>
      <c r="K346" s="176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46588.51</v>
      </c>
      <c r="G350" s="18">
        <v>4060.25</v>
      </c>
      <c r="H350" s="18">
        <v>2963.29</v>
      </c>
      <c r="I350" s="18">
        <v>33773.919999999998</v>
      </c>
      <c r="J350" s="18">
        <v>7821.25</v>
      </c>
      <c r="K350" s="18">
        <v>264.37</v>
      </c>
      <c r="L350" s="13">
        <f>SUM(F350:K350)</f>
        <v>95471.59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22125.599999999999</v>
      </c>
      <c r="G351" s="145">
        <v>2033.7</v>
      </c>
      <c r="H351" s="18">
        <v>1260.17</v>
      </c>
      <c r="I351" s="18">
        <v>16828.29</v>
      </c>
      <c r="J351" s="18"/>
      <c r="K351" s="18">
        <v>135.13</v>
      </c>
      <c r="L351" s="19">
        <f>SUM(F351:K351)</f>
        <v>42382.89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32178.61</v>
      </c>
      <c r="G352" s="18">
        <v>2865.79</v>
      </c>
      <c r="H352" s="18">
        <v>1753.28</v>
      </c>
      <c r="I352" s="18">
        <v>23413.279999999999</v>
      </c>
      <c r="J352" s="18"/>
      <c r="K352" s="18">
        <v>188</v>
      </c>
      <c r="L352" s="19">
        <f>SUM(F352:K352)</f>
        <v>60398.96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100892.72</v>
      </c>
      <c r="G354" s="47">
        <f t="shared" si="22"/>
        <v>8959.74</v>
      </c>
      <c r="H354" s="47">
        <f t="shared" si="22"/>
        <v>5976.74</v>
      </c>
      <c r="I354" s="47">
        <f t="shared" si="22"/>
        <v>74015.489999999991</v>
      </c>
      <c r="J354" s="47">
        <f t="shared" si="22"/>
        <v>7821.25</v>
      </c>
      <c r="K354" s="47">
        <f t="shared" si="22"/>
        <v>587.5</v>
      </c>
      <c r="L354" s="47">
        <f t="shared" si="22"/>
        <v>198253.43999999997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29774.11</v>
      </c>
      <c r="G359" s="18">
        <v>15217.87</v>
      </c>
      <c r="H359" s="18">
        <v>21172.7</v>
      </c>
      <c r="I359" s="56">
        <f>SUM(F359:H359)</f>
        <v>66164.680000000008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3999.81</v>
      </c>
      <c r="G360" s="63">
        <v>1610.42</v>
      </c>
      <c r="H360" s="63">
        <v>2240.58</v>
      </c>
      <c r="I360" s="56">
        <f>SUM(F360:H360)</f>
        <v>7850.8099999999995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33773.919999999998</v>
      </c>
      <c r="G361" s="47">
        <f>SUM(G359:G360)</f>
        <v>16828.29</v>
      </c>
      <c r="H361" s="47">
        <f>SUM(H359:H360)</f>
        <v>23413.279999999999</v>
      </c>
      <c r="I361" s="47">
        <f>SUM(I359:I360)</f>
        <v>74015.490000000005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6" t="s">
        <v>724</v>
      </c>
      <c r="G363" s="176" t="s">
        <v>725</v>
      </c>
      <c r="H363" s="176" t="s">
        <v>726</v>
      </c>
      <c r="I363" s="176" t="s">
        <v>727</v>
      </c>
      <c r="J363" s="176" t="s">
        <v>728</v>
      </c>
      <c r="K363" s="176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25000</v>
      </c>
      <c r="H388" s="18">
        <v>30.44</v>
      </c>
      <c r="I388" s="18"/>
      <c r="J388" s="24" t="s">
        <v>312</v>
      </c>
      <c r="K388" s="24" t="s">
        <v>312</v>
      </c>
      <c r="L388" s="56">
        <f t="shared" si="26"/>
        <v>25030.44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238.91</v>
      </c>
      <c r="I389" s="18"/>
      <c r="J389" s="24" t="s">
        <v>312</v>
      </c>
      <c r="K389" s="24" t="s">
        <v>312</v>
      </c>
      <c r="L389" s="56">
        <f t="shared" si="26"/>
        <v>238.91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73000</v>
      </c>
      <c r="H392" s="18">
        <v>41.04</v>
      </c>
      <c r="I392" s="18"/>
      <c r="J392" s="24" t="s">
        <v>312</v>
      </c>
      <c r="K392" s="24" t="s">
        <v>312</v>
      </c>
      <c r="L392" s="56">
        <f t="shared" si="26"/>
        <v>73041.039999999994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98000</v>
      </c>
      <c r="H393" s="47">
        <f>SUM(H387:H392)</f>
        <v>310.39000000000004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98310.389999999985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98000</v>
      </c>
      <c r="H400" s="47">
        <f>H385+H393+H399</f>
        <v>310.39000000000004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98310.389999999985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6" t="s">
        <v>724</v>
      </c>
      <c r="G401" s="176" t="s">
        <v>725</v>
      </c>
      <c r="H401" s="176" t="s">
        <v>726</v>
      </c>
      <c r="I401" s="176" t="s">
        <v>727</v>
      </c>
      <c r="J401" s="176" t="s">
        <v>728</v>
      </c>
      <c r="K401" s="176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2645.56</v>
      </c>
      <c r="L410" s="56">
        <f t="shared" si="27"/>
        <v>2645.56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2645.56</v>
      </c>
      <c r="L411" s="47">
        <f t="shared" si="28"/>
        <v>2645.56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2645.56</v>
      </c>
      <c r="L426" s="47">
        <f t="shared" si="32"/>
        <v>2645.56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195879.37</v>
      </c>
      <c r="G431" s="18">
        <v>73041.039999999994</v>
      </c>
      <c r="H431" s="18"/>
      <c r="I431" s="56">
        <f t="shared" ref="I431:I437" si="33">SUM(F431:H431)</f>
        <v>268920.40999999997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195879.37</v>
      </c>
      <c r="G438" s="13">
        <f>SUM(G431:G437)</f>
        <v>73041.039999999994</v>
      </c>
      <c r="H438" s="13">
        <f>SUM(H431:H437)</f>
        <v>0</v>
      </c>
      <c r="I438" s="13">
        <f>SUM(I431:I437)</f>
        <v>268920.40999999997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195879.37</v>
      </c>
      <c r="G449" s="18">
        <v>73041.039999999994</v>
      </c>
      <c r="H449" s="18"/>
      <c r="I449" s="56">
        <f>SUM(F449:H449)</f>
        <v>268920.40999999997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195879.37</v>
      </c>
      <c r="G450" s="83">
        <f>SUM(G446:G449)</f>
        <v>73041.039999999994</v>
      </c>
      <c r="H450" s="83">
        <f>SUM(H446:H449)</f>
        <v>0</v>
      </c>
      <c r="I450" s="83">
        <f>SUM(I446:I449)</f>
        <v>268920.40999999997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195879.37</v>
      </c>
      <c r="G451" s="42">
        <f>G444+G450</f>
        <v>73041.039999999994</v>
      </c>
      <c r="H451" s="42">
        <f>H444+H450</f>
        <v>0</v>
      </c>
      <c r="I451" s="42">
        <f>I444+I450</f>
        <v>268920.40999999997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8" t="s">
        <v>883</v>
      </c>
      <c r="B455" s="105">
        <v>19</v>
      </c>
      <c r="C455" s="111">
        <v>1</v>
      </c>
      <c r="D455" s="2" t="s">
        <v>456</v>
      </c>
      <c r="E455" s="111"/>
      <c r="F455" s="18">
        <v>251212.99</v>
      </c>
      <c r="G455" s="18">
        <v>30179.83</v>
      </c>
      <c r="H455" s="18">
        <v>0</v>
      </c>
      <c r="I455" s="18"/>
      <c r="J455" s="18">
        <v>173255.58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11030072.389999999</v>
      </c>
      <c r="G458" s="18">
        <v>190525.1</v>
      </c>
      <c r="H458" s="18">
        <v>413284.25</v>
      </c>
      <c r="I458" s="18"/>
      <c r="J458" s="18">
        <v>98310.39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270.8300000000163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11030343.219999999</v>
      </c>
      <c r="G460" s="53">
        <f>SUM(G458:G459)</f>
        <v>190525.1</v>
      </c>
      <c r="H460" s="53">
        <f>SUM(H458:H459)</f>
        <v>413284.25</v>
      </c>
      <c r="I460" s="53">
        <f>SUM(I458:I459)</f>
        <v>0</v>
      </c>
      <c r="J460" s="53">
        <f>SUM(J458:J459)</f>
        <v>98310.39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10926353.379999999</v>
      </c>
      <c r="G462" s="18">
        <v>198253.44</v>
      </c>
      <c r="H462" s="18">
        <v>413227.46</v>
      </c>
      <c r="I462" s="18"/>
      <c r="J462" s="18">
        <v>2645.56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45">
        <v>16502.89</v>
      </c>
      <c r="G463" s="18">
        <v>8992.2199999999993</v>
      </c>
      <c r="H463" s="18">
        <v>56.79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10942856.27</v>
      </c>
      <c r="G464" s="53">
        <f>SUM(G462:G463)</f>
        <v>207245.66</v>
      </c>
      <c r="H464" s="53">
        <f>SUM(H462:H463)</f>
        <v>413284.25</v>
      </c>
      <c r="I464" s="53">
        <f>SUM(I462:I463)</f>
        <v>0</v>
      </c>
      <c r="J464" s="53">
        <f>SUM(J462:J463)</f>
        <v>2645.56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9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338699.93999999948</v>
      </c>
      <c r="G466" s="53">
        <f>(G455+G460)- G464</f>
        <v>13459.26999999999</v>
      </c>
      <c r="H466" s="53">
        <f>(H455+H460)- H464</f>
        <v>0</v>
      </c>
      <c r="I466" s="53">
        <f>(I455+I460)- I464</f>
        <v>0</v>
      </c>
      <c r="J466" s="53">
        <f>(J455+J460)- J464</f>
        <v>268920.40999999997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8" t="s">
        <v>896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897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898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 t="s">
        <v>899</v>
      </c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0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6476775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3230000</v>
      </c>
      <c r="G485" s="18"/>
      <c r="H485" s="18"/>
      <c r="I485" s="18"/>
      <c r="J485" s="18"/>
      <c r="K485" s="53">
        <f>SUM(F485:J485)</f>
        <v>3230000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325000</v>
      </c>
      <c r="G487" s="18"/>
      <c r="H487" s="18"/>
      <c r="I487" s="18"/>
      <c r="J487" s="18"/>
      <c r="K487" s="53">
        <f t="shared" si="34"/>
        <v>325000</v>
      </c>
      <c r="L487" s="24" t="s">
        <v>312</v>
      </c>
    </row>
    <row r="488" spans="1:12" s="52" customFormat="1" ht="12" customHeight="1" x14ac:dyDescent="0.2">
      <c r="A488" s="200" t="s">
        <v>656</v>
      </c>
      <c r="B488" s="201">
        <v>20</v>
      </c>
      <c r="C488" s="202">
        <v>9</v>
      </c>
      <c r="D488" s="203" t="s">
        <v>456</v>
      </c>
      <c r="E488" s="202"/>
      <c r="F488" s="204">
        <v>2905000</v>
      </c>
      <c r="G488" s="204"/>
      <c r="H488" s="204"/>
      <c r="I488" s="204"/>
      <c r="J488" s="204"/>
      <c r="K488" s="205">
        <f t="shared" si="34"/>
        <v>2905000</v>
      </c>
      <c r="L488" s="206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683681.25</v>
      </c>
      <c r="G489" s="18"/>
      <c r="H489" s="18"/>
      <c r="I489" s="18"/>
      <c r="J489" s="18"/>
      <c r="K489" s="53">
        <f t="shared" si="34"/>
        <v>683681.25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5">
        <v>11</v>
      </c>
      <c r="D490" s="39" t="s">
        <v>456</v>
      </c>
      <c r="E490" s="195"/>
      <c r="F490" s="42">
        <f>SUM(F488:F489)</f>
        <v>3588681.25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3588681.25</v>
      </c>
      <c r="L490" s="45" t="s">
        <v>312</v>
      </c>
    </row>
    <row r="491" spans="1:12" s="52" customFormat="1" ht="12" customHeight="1" x14ac:dyDescent="0.2">
      <c r="A491" s="200" t="s">
        <v>685</v>
      </c>
      <c r="B491" s="201">
        <v>20</v>
      </c>
      <c r="C491" s="202">
        <v>12</v>
      </c>
      <c r="D491" s="203" t="s">
        <v>456</v>
      </c>
      <c r="E491" s="202"/>
      <c r="F491" s="204">
        <v>325000</v>
      </c>
      <c r="G491" s="204"/>
      <c r="H491" s="204"/>
      <c r="I491" s="204"/>
      <c r="J491" s="204"/>
      <c r="K491" s="205">
        <f t="shared" si="34"/>
        <v>325000</v>
      </c>
      <c r="L491" s="206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143981.25</v>
      </c>
      <c r="G492" s="18"/>
      <c r="H492" s="18"/>
      <c r="I492" s="18"/>
      <c r="J492" s="18"/>
      <c r="K492" s="53">
        <f t="shared" si="34"/>
        <v>143981.25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5">
        <v>14</v>
      </c>
      <c r="D493" s="39" t="s">
        <v>456</v>
      </c>
      <c r="E493" s="195"/>
      <c r="F493" s="42">
        <f>SUM(F491:F492)</f>
        <v>468981.25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468981.25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6" t="s">
        <v>724</v>
      </c>
      <c r="G508" s="176" t="s">
        <v>725</v>
      </c>
      <c r="H508" s="176" t="s">
        <v>726</v>
      </c>
      <c r="I508" s="176" t="s">
        <v>727</v>
      </c>
      <c r="J508" s="176" t="s">
        <v>728</v>
      </c>
      <c r="K508" s="176" t="s">
        <v>729</v>
      </c>
      <c r="L508" s="106"/>
    </row>
    <row r="509" spans="1:12" s="52" customFormat="1" ht="12" customHeight="1" x14ac:dyDescent="0.2">
      <c r="A509" s="177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494031.5</v>
      </c>
      <c r="G511" s="18">
        <v>131330.20000000001</v>
      </c>
      <c r="H511" s="18">
        <v>342440.89</v>
      </c>
      <c r="I511" s="18">
        <v>13060.54</v>
      </c>
      <c r="J511" s="18">
        <v>8068.47</v>
      </c>
      <c r="K511" s="18">
        <v>1419.61</v>
      </c>
      <c r="L511" s="88">
        <f>SUM(F511:K511)</f>
        <v>990351.21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174494.2</v>
      </c>
      <c r="G512" s="18">
        <v>58657.58</v>
      </c>
      <c r="H512" s="18">
        <v>125541.25</v>
      </c>
      <c r="I512" s="18">
        <v>3451.43</v>
      </c>
      <c r="J512" s="18">
        <v>380.34</v>
      </c>
      <c r="K512" s="18">
        <v>3228.87</v>
      </c>
      <c r="L512" s="88">
        <f>SUM(F512:K512)</f>
        <v>365753.67000000004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137958.20000000001</v>
      </c>
      <c r="G513" s="18">
        <v>47120.61</v>
      </c>
      <c r="H513" s="18">
        <v>348526.35</v>
      </c>
      <c r="I513" s="18">
        <v>5971.41</v>
      </c>
      <c r="J513" s="18">
        <v>614.91</v>
      </c>
      <c r="K513" s="18"/>
      <c r="L513" s="88">
        <f>SUM(F513:K513)</f>
        <v>540191.48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5">
        <v>4</v>
      </c>
      <c r="D514" s="196" t="s">
        <v>456</v>
      </c>
      <c r="E514" s="195"/>
      <c r="F514" s="108">
        <f>SUM(F511:F513)</f>
        <v>806483.89999999991</v>
      </c>
      <c r="G514" s="108">
        <f t="shared" ref="G514:L514" si="35">SUM(G511:G513)</f>
        <v>237108.39</v>
      </c>
      <c r="H514" s="108">
        <f t="shared" si="35"/>
        <v>816508.49</v>
      </c>
      <c r="I514" s="108">
        <f t="shared" si="35"/>
        <v>22483.38</v>
      </c>
      <c r="J514" s="108">
        <f t="shared" si="35"/>
        <v>9063.7199999999993</v>
      </c>
      <c r="K514" s="108">
        <f t="shared" si="35"/>
        <v>4648.4799999999996</v>
      </c>
      <c r="L514" s="89">
        <f t="shared" si="35"/>
        <v>1896296.3599999999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337292.9</v>
      </c>
      <c r="I516" s="18">
        <v>313.5</v>
      </c>
      <c r="J516" s="18"/>
      <c r="K516" s="18"/>
      <c r="L516" s="88">
        <f>SUM(F516:K516)</f>
        <v>337606.40000000002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38676.370000000003</v>
      </c>
      <c r="I517" s="18">
        <v>75.849999999999994</v>
      </c>
      <c r="J517" s="18"/>
      <c r="K517" s="18"/>
      <c r="L517" s="88">
        <f>SUM(F517:K517)</f>
        <v>38752.22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86051.42</v>
      </c>
      <c r="I518" s="18">
        <v>156.75</v>
      </c>
      <c r="J518" s="18"/>
      <c r="K518" s="18"/>
      <c r="L518" s="88">
        <f>SUM(F518:K518)</f>
        <v>86208.17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462020.69</v>
      </c>
      <c r="I519" s="89">
        <f t="shared" si="36"/>
        <v>546.1</v>
      </c>
      <c r="J519" s="89">
        <f t="shared" si="36"/>
        <v>0</v>
      </c>
      <c r="K519" s="89">
        <f t="shared" si="36"/>
        <v>0</v>
      </c>
      <c r="L519" s="89">
        <f t="shared" si="36"/>
        <v>462566.79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94571.41</v>
      </c>
      <c r="G521" s="18">
        <v>21691.87</v>
      </c>
      <c r="H521" s="18">
        <v>4031.4</v>
      </c>
      <c r="I521" s="18">
        <v>614.74</v>
      </c>
      <c r="J521" s="18">
        <v>416</v>
      </c>
      <c r="K521" s="18">
        <v>592.5</v>
      </c>
      <c r="L521" s="88">
        <f>SUM(F521:K521)</f>
        <v>121917.92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39474.61</v>
      </c>
      <c r="G522" s="18">
        <v>6941.4</v>
      </c>
      <c r="H522" s="18">
        <v>1290.05</v>
      </c>
      <c r="I522" s="18">
        <v>196.72</v>
      </c>
      <c r="J522" s="18">
        <v>133.12</v>
      </c>
      <c r="K522" s="18">
        <v>189.6</v>
      </c>
      <c r="L522" s="88">
        <f>SUM(F522:K522)</f>
        <v>48225.500000000007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73823.8</v>
      </c>
      <c r="G523" s="18">
        <v>14750.45</v>
      </c>
      <c r="H523" s="18">
        <v>2741.35</v>
      </c>
      <c r="I523" s="18">
        <v>503.09</v>
      </c>
      <c r="J523" s="18">
        <v>282.88</v>
      </c>
      <c r="K523" s="18">
        <v>402.9</v>
      </c>
      <c r="L523" s="88">
        <f>SUM(F523:K523)</f>
        <v>92504.47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207869.82</v>
      </c>
      <c r="G524" s="89">
        <f t="shared" ref="G524:L524" si="37">SUM(G521:G523)</f>
        <v>43383.72</v>
      </c>
      <c r="H524" s="89">
        <f t="shared" si="37"/>
        <v>8062.7999999999993</v>
      </c>
      <c r="I524" s="89">
        <f t="shared" si="37"/>
        <v>1314.55</v>
      </c>
      <c r="J524" s="89">
        <f t="shared" si="37"/>
        <v>832</v>
      </c>
      <c r="K524" s="89">
        <f t="shared" si="37"/>
        <v>1185</v>
      </c>
      <c r="L524" s="89">
        <f t="shared" si="37"/>
        <v>262647.89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4" t="s">
        <v>312</v>
      </c>
      <c r="G525" s="194" t="s">
        <v>312</v>
      </c>
      <c r="H525" s="194" t="s">
        <v>312</v>
      </c>
      <c r="I525" s="194" t="s">
        <v>312</v>
      </c>
      <c r="J525" s="194" t="s">
        <v>312</v>
      </c>
      <c r="K525" s="194" t="s">
        <v>312</v>
      </c>
      <c r="L525" s="194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5379.64</v>
      </c>
      <c r="I526" s="18"/>
      <c r="J526" s="18"/>
      <c r="K526" s="18"/>
      <c r="L526" s="88">
        <f>SUM(F526:K526)</f>
        <v>5379.64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2277.1799999999998</v>
      </c>
      <c r="I527" s="18"/>
      <c r="J527" s="18"/>
      <c r="K527" s="18"/>
      <c r="L527" s="88">
        <f>SUM(F527:K527)</f>
        <v>2277.1799999999998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4095.21</v>
      </c>
      <c r="I528" s="18"/>
      <c r="J528" s="18"/>
      <c r="K528" s="18"/>
      <c r="L528" s="88">
        <f>SUM(F528:K528)</f>
        <v>4095.21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11752.029999999999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11752.029999999999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46780.87</v>
      </c>
      <c r="I531" s="18"/>
      <c r="J531" s="18"/>
      <c r="K531" s="18"/>
      <c r="L531" s="88">
        <f>SUM(F531:K531)</f>
        <v>46780.87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45763.839999999997</v>
      </c>
      <c r="I532" s="18"/>
      <c r="J532" s="18"/>
      <c r="K532" s="18"/>
      <c r="L532" s="88">
        <f>SUM(F532:K532)</f>
        <v>45763.839999999997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150239.70000000001</v>
      </c>
      <c r="I533" s="18"/>
      <c r="J533" s="18"/>
      <c r="K533" s="18"/>
      <c r="L533" s="88">
        <f>SUM(F533:K533)</f>
        <v>150239.70000000001</v>
      </c>
      <c r="M533" s="8"/>
    </row>
    <row r="534" spans="1:13" s="3" customFormat="1" ht="12" customHeight="1" thickTop="1" thickBot="1" x14ac:dyDescent="0.2">
      <c r="A534" s="130" t="s">
        <v>71</v>
      </c>
      <c r="B534" s="191">
        <v>21</v>
      </c>
      <c r="C534" s="191">
        <v>20</v>
      </c>
      <c r="D534" s="192" t="s">
        <v>456</v>
      </c>
      <c r="E534" s="191"/>
      <c r="F534" s="193">
        <f>SUM(F531:F533)</f>
        <v>0</v>
      </c>
      <c r="G534" s="193">
        <f t="shared" ref="G534:L534" si="39">SUM(G531:G533)</f>
        <v>0</v>
      </c>
      <c r="H534" s="193">
        <f t="shared" si="39"/>
        <v>242784.41</v>
      </c>
      <c r="I534" s="193">
        <f t="shared" si="39"/>
        <v>0</v>
      </c>
      <c r="J534" s="193">
        <f t="shared" si="39"/>
        <v>0</v>
      </c>
      <c r="K534" s="193">
        <f t="shared" si="39"/>
        <v>0</v>
      </c>
      <c r="L534" s="193">
        <f t="shared" si="39"/>
        <v>242784.41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1014353.72</v>
      </c>
      <c r="G535" s="89">
        <f t="shared" ref="G535:L535" si="40">G514+G519+G524+G529+G534</f>
        <v>280492.11</v>
      </c>
      <c r="H535" s="89">
        <f t="shared" si="40"/>
        <v>1541128.42</v>
      </c>
      <c r="I535" s="89">
        <f t="shared" si="40"/>
        <v>24344.03</v>
      </c>
      <c r="J535" s="89">
        <f t="shared" si="40"/>
        <v>9895.7199999999993</v>
      </c>
      <c r="K535" s="89">
        <f t="shared" si="40"/>
        <v>5833.48</v>
      </c>
      <c r="L535" s="89">
        <f t="shared" si="40"/>
        <v>2876047.48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990351.21</v>
      </c>
      <c r="G539" s="87">
        <f>L516</f>
        <v>337606.40000000002</v>
      </c>
      <c r="H539" s="87">
        <f>L521</f>
        <v>121917.92</v>
      </c>
      <c r="I539" s="87">
        <f>L526</f>
        <v>5379.64</v>
      </c>
      <c r="J539" s="87">
        <f>L531</f>
        <v>46780.87</v>
      </c>
      <c r="K539" s="87">
        <f>SUM(F539:J539)</f>
        <v>1502036.0399999998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365753.67000000004</v>
      </c>
      <c r="G540" s="87">
        <f>L517</f>
        <v>38752.22</v>
      </c>
      <c r="H540" s="87">
        <f>L522</f>
        <v>48225.500000000007</v>
      </c>
      <c r="I540" s="87">
        <f>L527</f>
        <v>2277.1799999999998</v>
      </c>
      <c r="J540" s="87">
        <f>L532</f>
        <v>45763.839999999997</v>
      </c>
      <c r="K540" s="87">
        <f>SUM(F540:J540)</f>
        <v>500772.41000000003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540191.48</v>
      </c>
      <c r="G541" s="87">
        <f>L518</f>
        <v>86208.17</v>
      </c>
      <c r="H541" s="87">
        <f>L523</f>
        <v>92504.47</v>
      </c>
      <c r="I541" s="87">
        <f>L528</f>
        <v>4095.21</v>
      </c>
      <c r="J541" s="87">
        <f>L533</f>
        <v>150239.70000000001</v>
      </c>
      <c r="K541" s="87">
        <f>SUM(F541:J541)</f>
        <v>873239.03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1896296.3599999999</v>
      </c>
      <c r="G542" s="89">
        <f t="shared" si="41"/>
        <v>462566.79</v>
      </c>
      <c r="H542" s="89">
        <f t="shared" si="41"/>
        <v>262647.89</v>
      </c>
      <c r="I542" s="89">
        <f t="shared" si="41"/>
        <v>11752.029999999999</v>
      </c>
      <c r="J542" s="89">
        <f t="shared" si="41"/>
        <v>242784.41</v>
      </c>
      <c r="K542" s="89">
        <f t="shared" si="41"/>
        <v>2876047.4799999995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6" t="s">
        <v>724</v>
      </c>
      <c r="G544" s="176" t="s">
        <v>725</v>
      </c>
      <c r="H544" s="176" t="s">
        <v>726</v>
      </c>
      <c r="I544" s="176" t="s">
        <v>727</v>
      </c>
      <c r="J544" s="176" t="s">
        <v>728</v>
      </c>
      <c r="K544" s="176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5">
        <v>4</v>
      </c>
      <c r="D550" s="196" t="s">
        <v>456</v>
      </c>
      <c r="E550" s="195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6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1">
        <v>22</v>
      </c>
      <c r="C560" s="191">
        <v>12</v>
      </c>
      <c r="D560" s="197" t="s">
        <v>456</v>
      </c>
      <c r="E560" s="191"/>
      <c r="F560" s="193">
        <f>SUM(F557:F559)</f>
        <v>0</v>
      </c>
      <c r="G560" s="193">
        <f t="shared" ref="G560:L560" si="44">SUM(G557:G559)</f>
        <v>0</v>
      </c>
      <c r="H560" s="193">
        <f t="shared" si="44"/>
        <v>0</v>
      </c>
      <c r="I560" s="193">
        <f t="shared" si="44"/>
        <v>0</v>
      </c>
      <c r="J560" s="193">
        <f t="shared" si="44"/>
        <v>0</v>
      </c>
      <c r="K560" s="193">
        <f t="shared" si="44"/>
        <v>0</v>
      </c>
      <c r="L560" s="193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7205</v>
      </c>
      <c r="I565" s="87">
        <f>SUM(F565:H565)</f>
        <v>7205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57780</v>
      </c>
      <c r="G568" s="18"/>
      <c r="H568" s="18"/>
      <c r="I568" s="87">
        <f t="shared" si="46"/>
        <v>57780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31942.97</v>
      </c>
      <c r="H569" s="18">
        <v>11908.12</v>
      </c>
      <c r="I569" s="87">
        <f t="shared" si="46"/>
        <v>43851.090000000004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312646.15999999997</v>
      </c>
      <c r="G572" s="18">
        <v>93556.84</v>
      </c>
      <c r="H572" s="18">
        <v>327477</v>
      </c>
      <c r="I572" s="87">
        <f t="shared" si="46"/>
        <v>733680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5888.32</v>
      </c>
      <c r="I574" s="87">
        <f t="shared" si="46"/>
        <v>5888.32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196511.17</v>
      </c>
      <c r="I581" s="18"/>
      <c r="J581" s="18"/>
      <c r="K581" s="104">
        <f t="shared" ref="K581:K587" si="47">SUM(H581:J581)</f>
        <v>196511.17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46780.87</v>
      </c>
      <c r="I582" s="18">
        <v>45763.839999999997</v>
      </c>
      <c r="J582" s="18">
        <v>150239.70000000001</v>
      </c>
      <c r="K582" s="104">
        <f t="shared" si="47"/>
        <v>242784.41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17940.099999999999</v>
      </c>
      <c r="K583" s="104">
        <f t="shared" si="47"/>
        <v>17940.099999999999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18073.82</v>
      </c>
      <c r="J584" s="18">
        <v>27110.9</v>
      </c>
      <c r="K584" s="104">
        <f t="shared" si="47"/>
        <v>45184.72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4186.75</v>
      </c>
      <c r="I585" s="18">
        <v>68.8</v>
      </c>
      <c r="J585" s="18">
        <v>103.2</v>
      </c>
      <c r="K585" s="104">
        <f t="shared" si="47"/>
        <v>4358.75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247478.79</v>
      </c>
      <c r="I588" s="108">
        <f>SUM(I581:I587)</f>
        <v>63906.46</v>
      </c>
      <c r="J588" s="108">
        <f>SUM(J581:J587)</f>
        <v>195393.90000000002</v>
      </c>
      <c r="K588" s="108">
        <f>SUM(K581:K587)</f>
        <v>506779.15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24337.11</v>
      </c>
      <c r="I594" s="18">
        <v>20086.54</v>
      </c>
      <c r="J594" s="18">
        <v>30571.68</v>
      </c>
      <c r="K594" s="104">
        <f>SUM(H594:J594)</f>
        <v>74995.33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24337.11</v>
      </c>
      <c r="I595" s="108">
        <f>SUM(I592:I594)</f>
        <v>20086.54</v>
      </c>
      <c r="J595" s="108">
        <f>SUM(J592:J594)</f>
        <v>30571.68</v>
      </c>
      <c r="K595" s="108">
        <f>SUM(K592:K594)</f>
        <v>74995.33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6" t="s">
        <v>724</v>
      </c>
      <c r="G599" s="176" t="s">
        <v>725</v>
      </c>
      <c r="H599" s="176" t="s">
        <v>726</v>
      </c>
      <c r="I599" s="176" t="s">
        <v>727</v>
      </c>
      <c r="J599" s="176" t="s">
        <v>728</v>
      </c>
      <c r="K599" s="176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16258.12</v>
      </c>
      <c r="G601" s="18"/>
      <c r="H601" s="18"/>
      <c r="I601" s="18"/>
      <c r="J601" s="18"/>
      <c r="K601" s="18"/>
      <c r="L601" s="88">
        <f>SUM(F601:K601)</f>
        <v>16258.12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2586.9</v>
      </c>
      <c r="G602" s="18"/>
      <c r="H602" s="18"/>
      <c r="I602" s="18"/>
      <c r="J602" s="18"/>
      <c r="K602" s="18"/>
      <c r="L602" s="88">
        <f>SUM(F602:K602)</f>
        <v>2586.9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1309.73</v>
      </c>
      <c r="G603" s="18"/>
      <c r="H603" s="18"/>
      <c r="I603" s="18"/>
      <c r="J603" s="18"/>
      <c r="K603" s="18"/>
      <c r="L603" s="88">
        <f>SUM(F603:K603)</f>
        <v>1309.73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20154.75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20154.75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401231.32</v>
      </c>
      <c r="H607" s="109">
        <f>SUM(F44)</f>
        <v>401231.32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28942.77</v>
      </c>
      <c r="H608" s="109">
        <f>SUM(G44)</f>
        <v>28942.77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103625.33</v>
      </c>
      <c r="H609" s="109">
        <f>SUM(H44)</f>
        <v>103625.33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268920.40999999997</v>
      </c>
      <c r="H611" s="109">
        <f>SUM(J44)</f>
        <v>268920.40999999997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338699.94</v>
      </c>
      <c r="H612" s="109">
        <f>F466</f>
        <v>338699.93999999948</v>
      </c>
      <c r="I612" s="121" t="s">
        <v>106</v>
      </c>
      <c r="J612" s="109">
        <f t="shared" ref="J612:J645" si="49">G612-H612</f>
        <v>5.2386894822120667E-10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13459.27</v>
      </c>
      <c r="H613" s="109">
        <f>G466</f>
        <v>13459.26999999999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268920.40999999997</v>
      </c>
      <c r="H616" s="109">
        <f>J466</f>
        <v>268920.40999999997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11030072.389999999</v>
      </c>
      <c r="H617" s="104">
        <f>SUM(F458)</f>
        <v>11030072.389999999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190525.1</v>
      </c>
      <c r="H618" s="104">
        <f>SUM(G458)</f>
        <v>190525.1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413284.25</v>
      </c>
      <c r="H619" s="104">
        <f>SUM(H458)</f>
        <v>413284.25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98310.39</v>
      </c>
      <c r="H621" s="104">
        <f>SUM(J458)</f>
        <v>98310.39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10926353.379999999</v>
      </c>
      <c r="H622" s="104">
        <f>SUM(F462)</f>
        <v>10926353.379999999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413227.46</v>
      </c>
      <c r="H623" s="104">
        <f>SUM(H462)</f>
        <v>413227.46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74015.489999999991</v>
      </c>
      <c r="H624" s="104">
        <f>I361</f>
        <v>74015.490000000005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198253.43999999997</v>
      </c>
      <c r="H625" s="104">
        <f>SUM(G462)</f>
        <v>198253.44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98310.389999999985</v>
      </c>
      <c r="H627" s="164">
        <f>SUM(J458)</f>
        <v>98310.39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2645.56</v>
      </c>
      <c r="H628" s="164">
        <f>SUM(J462)</f>
        <v>2645.56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195879.37</v>
      </c>
      <c r="H629" s="104">
        <f>SUM(F451)</f>
        <v>195879.37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73041.039999999994</v>
      </c>
      <c r="H630" s="104">
        <f>SUM(G451)</f>
        <v>73041.039999999994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268920.40999999997</v>
      </c>
      <c r="H632" s="104">
        <f>SUM(I451)</f>
        <v>268920.40999999997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310.39</v>
      </c>
      <c r="H634" s="104">
        <f>H400</f>
        <v>310.39000000000004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98000</v>
      </c>
      <c r="H635" s="104">
        <f>G400</f>
        <v>98000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98310.39</v>
      </c>
      <c r="H636" s="104">
        <f>L400</f>
        <v>98310.389999999985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506779.15</v>
      </c>
      <c r="H637" s="104">
        <f>L200+L218+L236</f>
        <v>506779.15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74995.33</v>
      </c>
      <c r="H638" s="104">
        <f>(J249+J330)-(J247+J328)</f>
        <v>74995.33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247478.79</v>
      </c>
      <c r="H639" s="104">
        <f>H588</f>
        <v>247478.79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63906.46</v>
      </c>
      <c r="H640" s="104">
        <f>I588</f>
        <v>63906.46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195393.9</v>
      </c>
      <c r="H641" s="104">
        <f>J588</f>
        <v>195393.90000000002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98000</v>
      </c>
      <c r="H645" s="104">
        <f>K258+K339</f>
        <v>98000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5116289.5000000009</v>
      </c>
      <c r="G650" s="19">
        <f>(L221+L301+L351)</f>
        <v>2060123.3499999999</v>
      </c>
      <c r="H650" s="19">
        <f>(L239+L320+L352)</f>
        <v>3621834.73</v>
      </c>
      <c r="I650" s="19">
        <f>SUM(F650:H650)</f>
        <v>10798247.58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58091.872551747903</v>
      </c>
      <c r="G651" s="19">
        <f>(L351/IF(SUM(L350:L352)=0,1,SUM(L350:L352))*(SUM(G89:G102)))</f>
        <v>25788.838797539152</v>
      </c>
      <c r="H651" s="19">
        <f>(L352/IF(SUM(L350:L352)=0,1,SUM(L350:L352))*(SUM(G89:G102)))</f>
        <v>36751.128650712955</v>
      </c>
      <c r="I651" s="19">
        <f>SUM(F651:H651)</f>
        <v>120631.84000000001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247478.79</v>
      </c>
      <c r="G652" s="19">
        <f>(L218+L298)-(J218+J298)</f>
        <v>63906.46</v>
      </c>
      <c r="H652" s="19">
        <f>(L236+L317)-(J236+J317)</f>
        <v>196274.75999999998</v>
      </c>
      <c r="I652" s="19">
        <f>SUM(F652:H652)</f>
        <v>507660.01</v>
      </c>
      <c r="J652"/>
      <c r="K652" s="13"/>
      <c r="L652" s="13"/>
      <c r="M652" s="9"/>
    </row>
    <row r="653" spans="1:13" s="3" customFormat="1" ht="12" customHeight="1" x14ac:dyDescent="0.15">
      <c r="A653" s="198" t="s">
        <v>142</v>
      </c>
      <c r="B653" s="169"/>
      <c r="C653" s="169"/>
      <c r="D653" s="169"/>
      <c r="E653" s="169"/>
      <c r="F653" s="199">
        <f>SUM(F565:F577)+SUM(H592:H594)+SUM(L601)</f>
        <v>411021.38999999996</v>
      </c>
      <c r="G653" s="199">
        <f>SUM(G565:G577)+SUM(I592:I594)+L602</f>
        <v>148173.25</v>
      </c>
      <c r="H653" s="199">
        <f>SUM(H565:H577)+SUM(J592:J594)+L603</f>
        <v>384359.85</v>
      </c>
      <c r="I653" s="19">
        <f>SUM(F653:H653)</f>
        <v>943554.48999999987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4399697.4474482527</v>
      </c>
      <c r="G654" s="19">
        <f>G650-SUM(G651:G653)</f>
        <v>1822254.8012024607</v>
      </c>
      <c r="H654" s="19">
        <f>H650-SUM(H651:H653)</f>
        <v>3004448.9913492873</v>
      </c>
      <c r="I654" s="19">
        <f>I650-SUM(I651:I653)</f>
        <v>9226401.2400000002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7">
        <v>328.75</v>
      </c>
      <c r="G655" s="248">
        <v>106.61</v>
      </c>
      <c r="H655" s="248">
        <v>225.63</v>
      </c>
      <c r="I655" s="19">
        <f>SUM(F655:H655)</f>
        <v>660.99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13383.11</v>
      </c>
      <c r="G657" s="19">
        <f>ROUND(G654/G655,2)</f>
        <v>17092.72</v>
      </c>
      <c r="H657" s="19">
        <f>ROUND(H654/H655,2)</f>
        <v>13315.82</v>
      </c>
      <c r="I657" s="19">
        <f>ROUND(I654/I655,2)</f>
        <v>13958.46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-3.73</v>
      </c>
      <c r="I660" s="19">
        <f>SUM(F660:H660)</f>
        <v>-3.73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13383.11</v>
      </c>
      <c r="G662" s="19">
        <f>ROUND((G654+G659)/(G655+G660),2)</f>
        <v>17092.72</v>
      </c>
      <c r="H662" s="19">
        <f>ROUND((H654+H659)/(H655+H660),2)</f>
        <v>13539.65</v>
      </c>
      <c r="I662" s="19">
        <f>ROUND((I654+I659)/(I655+I660),2)</f>
        <v>14037.67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CA0D-CF2F-43C5-B0B7-91C8C7BFC4D5}">
  <sheetPr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816</v>
      </c>
      <c r="B1" s="232" t="str">
        <f>'DOE25'!A2</f>
        <v>Wilton-Lyndeborough Cooperative S.D.</v>
      </c>
      <c r="C1" s="238" t="s">
        <v>870</v>
      </c>
    </row>
    <row r="2" spans="1:3" x14ac:dyDescent="0.2">
      <c r="A2" s="233"/>
      <c r="B2" s="232"/>
    </row>
    <row r="3" spans="1:3" x14ac:dyDescent="0.2">
      <c r="A3" s="273" t="s">
        <v>815</v>
      </c>
      <c r="B3" s="273"/>
      <c r="C3" s="273"/>
    </row>
    <row r="4" spans="1:3" x14ac:dyDescent="0.2">
      <c r="A4" s="236"/>
      <c r="B4" s="237" t="str">
        <f>'DOE25'!H1</f>
        <v>DOE 25  2010-2011</v>
      </c>
      <c r="C4" s="236"/>
    </row>
    <row r="5" spans="1:3" x14ac:dyDescent="0.2">
      <c r="A5" s="233"/>
      <c r="B5" s="232"/>
    </row>
    <row r="6" spans="1:3" x14ac:dyDescent="0.2">
      <c r="A6" s="227"/>
      <c r="B6" s="272" t="s">
        <v>814</v>
      </c>
      <c r="C6" s="272"/>
    </row>
    <row r="7" spans="1:3" x14ac:dyDescent="0.2">
      <c r="A7" s="239" t="s">
        <v>817</v>
      </c>
      <c r="B7" s="270" t="s">
        <v>813</v>
      </c>
      <c r="C7" s="271"/>
    </row>
    <row r="8" spans="1:3" x14ac:dyDescent="0.2">
      <c r="B8" s="228" t="s">
        <v>54</v>
      </c>
      <c r="C8" s="228" t="s">
        <v>807</v>
      </c>
    </row>
    <row r="9" spans="1:3" x14ac:dyDescent="0.2">
      <c r="A9" s="33" t="s">
        <v>808</v>
      </c>
      <c r="B9" s="229">
        <f>'DOE25'!F189+'DOE25'!F207+'DOE25'!F225+'DOE25'!F268+'DOE25'!F287+'DOE25'!F306</f>
        <v>2887215.5599999996</v>
      </c>
      <c r="C9" s="229">
        <f>'DOE25'!G189+'DOE25'!G207+'DOE25'!G225+'DOE25'!G268+'DOE25'!G287+'DOE25'!G306</f>
        <v>1052153.44</v>
      </c>
    </row>
    <row r="10" spans="1:3" x14ac:dyDescent="0.2">
      <c r="A10" t="s">
        <v>810</v>
      </c>
      <c r="B10" s="240">
        <v>2801303.8</v>
      </c>
      <c r="C10" s="240">
        <v>1040977.98</v>
      </c>
    </row>
    <row r="11" spans="1:3" x14ac:dyDescent="0.2">
      <c r="A11" t="s">
        <v>811</v>
      </c>
      <c r="B11" s="240">
        <v>85911.76</v>
      </c>
      <c r="C11" s="240">
        <v>11175.46</v>
      </c>
    </row>
    <row r="12" spans="1:3" x14ac:dyDescent="0.2">
      <c r="A12" t="s">
        <v>812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2887215.5599999996</v>
      </c>
      <c r="C13" s="231">
        <f>SUM(C10:C12)</f>
        <v>1052153.44</v>
      </c>
    </row>
    <row r="14" spans="1:3" x14ac:dyDescent="0.2">
      <c r="B14" s="230"/>
      <c r="C14" s="230"/>
    </row>
    <row r="15" spans="1:3" x14ac:dyDescent="0.2">
      <c r="B15" s="272" t="s">
        <v>814</v>
      </c>
      <c r="C15" s="272"/>
    </row>
    <row r="16" spans="1:3" x14ac:dyDescent="0.2">
      <c r="A16" s="239" t="s">
        <v>818</v>
      </c>
      <c r="B16" s="270" t="s">
        <v>738</v>
      </c>
      <c r="C16" s="271"/>
    </row>
    <row r="17" spans="1:3" x14ac:dyDescent="0.2">
      <c r="B17" s="228" t="s">
        <v>54</v>
      </c>
      <c r="C17" s="228" t="s">
        <v>807</v>
      </c>
    </row>
    <row r="18" spans="1:3" x14ac:dyDescent="0.2">
      <c r="A18" s="33" t="s">
        <v>808</v>
      </c>
      <c r="B18" s="229">
        <f>'DOE25'!F190+'DOE25'!F208+'DOE25'!F226+'DOE25'!F269+'DOE25'!F288+'DOE25'!F307</f>
        <v>806483.89999999991</v>
      </c>
      <c r="C18" s="229">
        <f>'DOE25'!G190+'DOE25'!G208+'DOE25'!G226+'DOE25'!G269+'DOE25'!G288+'DOE25'!G307</f>
        <v>237108.39</v>
      </c>
    </row>
    <row r="19" spans="1:3" x14ac:dyDescent="0.2">
      <c r="A19" t="s">
        <v>810</v>
      </c>
      <c r="B19" s="240">
        <v>426006.13</v>
      </c>
      <c r="C19" s="240">
        <v>178101.04</v>
      </c>
    </row>
    <row r="20" spans="1:3" x14ac:dyDescent="0.2">
      <c r="A20" t="s">
        <v>811</v>
      </c>
      <c r="B20" s="240">
        <v>380477.77</v>
      </c>
      <c r="C20" s="240">
        <v>59007.35</v>
      </c>
    </row>
    <row r="21" spans="1:3" x14ac:dyDescent="0.2">
      <c r="A21" t="s">
        <v>812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806483.9</v>
      </c>
      <c r="C22" s="231">
        <f>SUM(C19:C21)</f>
        <v>237108.39</v>
      </c>
    </row>
    <row r="23" spans="1:3" x14ac:dyDescent="0.2">
      <c r="B23" s="230"/>
      <c r="C23" s="230"/>
    </row>
    <row r="24" spans="1:3" x14ac:dyDescent="0.2">
      <c r="B24" s="272" t="s">
        <v>814</v>
      </c>
      <c r="C24" s="272"/>
    </row>
    <row r="25" spans="1:3" x14ac:dyDescent="0.2">
      <c r="A25" s="239" t="s">
        <v>819</v>
      </c>
      <c r="B25" s="270" t="s">
        <v>739</v>
      </c>
      <c r="C25" s="271"/>
    </row>
    <row r="26" spans="1:3" x14ac:dyDescent="0.2">
      <c r="B26" s="228" t="s">
        <v>54</v>
      </c>
      <c r="C26" s="228" t="s">
        <v>807</v>
      </c>
    </row>
    <row r="27" spans="1:3" x14ac:dyDescent="0.2">
      <c r="A27" s="33" t="s">
        <v>808</v>
      </c>
      <c r="B27" s="234">
        <f>'DOE25'!F191+'DOE25'!F209+'DOE25'!F227+'DOE25'!F270+'DOE25'!F289+'DOE25'!F308</f>
        <v>0</v>
      </c>
      <c r="C27" s="234">
        <f>'DOE25'!G191+'DOE25'!G209+'DOE25'!G227+'DOE25'!G270+'DOE25'!G289+'DOE25'!G308</f>
        <v>0</v>
      </c>
    </row>
    <row r="28" spans="1:3" x14ac:dyDescent="0.2">
      <c r="A28" t="s">
        <v>810</v>
      </c>
      <c r="B28" s="240"/>
      <c r="C28" s="240"/>
    </row>
    <row r="29" spans="1:3" x14ac:dyDescent="0.2">
      <c r="A29" t="s">
        <v>811</v>
      </c>
      <c r="B29" s="240"/>
      <c r="C29" s="240"/>
    </row>
    <row r="30" spans="1:3" x14ac:dyDescent="0.2">
      <c r="A30" t="s">
        <v>812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39" t="s">
        <v>820</v>
      </c>
      <c r="B34" s="270" t="s">
        <v>740</v>
      </c>
      <c r="C34" s="271"/>
    </row>
    <row r="35" spans="1:3" x14ac:dyDescent="0.2">
      <c r="B35" s="228" t="s">
        <v>54</v>
      </c>
      <c r="C35" s="228" t="s">
        <v>807</v>
      </c>
    </row>
    <row r="36" spans="1:3" x14ac:dyDescent="0.2">
      <c r="A36" s="33" t="s">
        <v>808</v>
      </c>
      <c r="B36" s="235">
        <f>'DOE25'!F192+'DOE25'!F210+'DOE25'!F228+'DOE25'!F271+'DOE25'!F290+'DOE25'!F309</f>
        <v>79821.19</v>
      </c>
      <c r="C36" s="235">
        <f>'DOE25'!G192+'DOE25'!G210+'DOE25'!G228+'DOE25'!G271+'DOE25'!G290+'DOE25'!G309</f>
        <v>11574.48</v>
      </c>
    </row>
    <row r="37" spans="1:3" x14ac:dyDescent="0.2">
      <c r="A37" t="s">
        <v>810</v>
      </c>
      <c r="B37" s="240">
        <v>47183.95</v>
      </c>
      <c r="C37" s="240">
        <v>6841.91</v>
      </c>
    </row>
    <row r="38" spans="1:3" x14ac:dyDescent="0.2">
      <c r="A38" t="s">
        <v>811</v>
      </c>
      <c r="B38" s="240">
        <v>2165</v>
      </c>
      <c r="C38" s="240">
        <v>313.94</v>
      </c>
    </row>
    <row r="39" spans="1:3" x14ac:dyDescent="0.2">
      <c r="A39" t="s">
        <v>812</v>
      </c>
      <c r="B39" s="240">
        <v>30472.240000000002</v>
      </c>
      <c r="C39" s="240">
        <v>4418.63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79821.19</v>
      </c>
      <c r="C40" s="231">
        <f>SUM(C37:C39)</f>
        <v>11574.48</v>
      </c>
    </row>
    <row r="41" spans="1:3" x14ac:dyDescent="0.2">
      <c r="B41" s="230"/>
      <c r="C41" s="230"/>
    </row>
    <row r="42" spans="1:3" x14ac:dyDescent="0.2">
      <c r="A42" s="33" t="s">
        <v>868</v>
      </c>
      <c r="B42" s="230"/>
      <c r="C42" s="230"/>
    </row>
    <row r="43" spans="1:3" x14ac:dyDescent="0.2">
      <c r="A43" t="s">
        <v>872</v>
      </c>
      <c r="B43" s="230"/>
      <c r="C43" s="230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4" t="s">
        <v>809</v>
      </c>
    </row>
    <row r="49" spans="1:1" x14ac:dyDescent="0.2">
      <c r="A49" s="268" t="s">
        <v>875</v>
      </c>
    </row>
    <row r="50" spans="1:1" x14ac:dyDescent="0.2">
      <c r="A50" s="268" t="s">
        <v>869</v>
      </c>
    </row>
    <row r="51" spans="1:1" x14ac:dyDescent="0.2">
      <c r="A51" s="268" t="s">
        <v>876</v>
      </c>
    </row>
    <row r="52" spans="1:1" x14ac:dyDescent="0.2">
      <c r="A52" s="269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386D-830B-46BC-93D8-BC6286FAFE9A}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7"/>
      <c r="C1" s="277"/>
      <c r="D1" s="277"/>
      <c r="E1" s="277"/>
      <c r="F1" s="277"/>
      <c r="G1" s="277"/>
      <c r="H1" s="277"/>
      <c r="I1" s="180"/>
    </row>
    <row r="2" spans="1:9" x14ac:dyDescent="0.2">
      <c r="A2" s="33" t="s">
        <v>748</v>
      </c>
      <c r="B2" s="265" t="str">
        <f>'DOE25'!A2</f>
        <v>Wilton-Lyndeborough Cooperative S.D.</v>
      </c>
      <c r="C2" s="180"/>
      <c r="D2" s="180" t="s">
        <v>823</v>
      </c>
      <c r="E2" s="180" t="s">
        <v>825</v>
      </c>
      <c r="F2" s="274" t="s">
        <v>852</v>
      </c>
      <c r="G2" s="275"/>
      <c r="H2" s="276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824</v>
      </c>
      <c r="E3" s="180" t="s">
        <v>826</v>
      </c>
      <c r="F3" s="241" t="s">
        <v>866</v>
      </c>
      <c r="G3" s="217" t="s">
        <v>59</v>
      </c>
      <c r="H3" s="242" t="s">
        <v>829</v>
      </c>
    </row>
    <row r="4" spans="1:9" x14ac:dyDescent="0.2">
      <c r="A4" s="251" t="s">
        <v>831</v>
      </c>
      <c r="B4" s="251" t="s">
        <v>847</v>
      </c>
      <c r="C4" s="251" t="s">
        <v>822</v>
      </c>
      <c r="D4" s="251" t="s">
        <v>848</v>
      </c>
      <c r="E4" s="251" t="s">
        <v>848</v>
      </c>
      <c r="F4" s="250" t="s">
        <v>828</v>
      </c>
      <c r="G4" s="251" t="s">
        <v>842</v>
      </c>
      <c r="H4" s="252" t="s">
        <v>830</v>
      </c>
    </row>
    <row r="5" spans="1:9" x14ac:dyDescent="0.2">
      <c r="A5" s="32">
        <v>1000</v>
      </c>
      <c r="B5" t="s">
        <v>218</v>
      </c>
      <c r="C5" s="245">
        <f t="shared" ref="C5:C19" si="0">SUM(D5:H5)</f>
        <v>6175433.4100000001</v>
      </c>
      <c r="D5" s="20">
        <f>SUM('DOE25'!L189:L192)+SUM('DOE25'!L207:L210)+SUM('DOE25'!L225:L228)-F5-G5</f>
        <v>6115927.5499999998</v>
      </c>
      <c r="E5" s="243"/>
      <c r="F5" s="255">
        <f>SUM('DOE25'!J189:J192)+SUM('DOE25'!J207:J210)+SUM('DOE25'!J225:J228)</f>
        <v>39769.149999999994</v>
      </c>
      <c r="G5" s="53">
        <f>SUM('DOE25'!K189:K192)+SUM('DOE25'!K207:K210)+SUM('DOE25'!K225:K228)</f>
        <v>19736.71</v>
      </c>
      <c r="H5" s="259"/>
    </row>
    <row r="6" spans="1:9" x14ac:dyDescent="0.2">
      <c r="A6" s="32">
        <v>2100</v>
      </c>
      <c r="B6" t="s">
        <v>832</v>
      </c>
      <c r="C6" s="245">
        <f t="shared" si="0"/>
        <v>900913.65</v>
      </c>
      <c r="D6" s="20">
        <f>'DOE25'!L194+'DOE25'!L212+'DOE25'!L230-F6-G6</f>
        <v>895314.11</v>
      </c>
      <c r="E6" s="243"/>
      <c r="F6" s="255">
        <f>'DOE25'!J194+'DOE25'!J212+'DOE25'!J230</f>
        <v>4629.54</v>
      </c>
      <c r="G6" s="53">
        <f>'DOE25'!K194+'DOE25'!K212+'DOE25'!K230</f>
        <v>970</v>
      </c>
      <c r="H6" s="259"/>
    </row>
    <row r="7" spans="1:9" x14ac:dyDescent="0.2">
      <c r="A7" s="32">
        <v>2200</v>
      </c>
      <c r="B7" t="s">
        <v>865</v>
      </c>
      <c r="C7" s="245">
        <f t="shared" si="0"/>
        <v>234416.01</v>
      </c>
      <c r="D7" s="20">
        <f>'DOE25'!L195+'DOE25'!L213+'DOE25'!L231-F7-G7</f>
        <v>232229.68000000002</v>
      </c>
      <c r="E7" s="243"/>
      <c r="F7" s="255">
        <f>'DOE25'!J195+'DOE25'!J213+'DOE25'!J231</f>
        <v>2141.33</v>
      </c>
      <c r="G7" s="53">
        <f>'DOE25'!K195+'DOE25'!K213+'DOE25'!K231</f>
        <v>45</v>
      </c>
      <c r="H7" s="259"/>
    </row>
    <row r="8" spans="1:9" x14ac:dyDescent="0.2">
      <c r="A8" s="32">
        <v>2300</v>
      </c>
      <c r="B8" t="s">
        <v>833</v>
      </c>
      <c r="C8" s="245">
        <f t="shared" si="0"/>
        <v>496494.61000000004</v>
      </c>
      <c r="D8" s="243"/>
      <c r="E8" s="20">
        <f>'DOE25'!L196+'DOE25'!L214+'DOE25'!L232-F8-G8-D9-D11</f>
        <v>489162.52</v>
      </c>
      <c r="F8" s="255">
        <f>'DOE25'!J196+'DOE25'!J214+'DOE25'!J232</f>
        <v>832</v>
      </c>
      <c r="G8" s="53">
        <f>'DOE25'!K196+'DOE25'!K214+'DOE25'!K232</f>
        <v>6500.09</v>
      </c>
      <c r="H8" s="259"/>
    </row>
    <row r="9" spans="1:9" x14ac:dyDescent="0.2">
      <c r="A9" s="32">
        <v>2310</v>
      </c>
      <c r="B9" t="s">
        <v>849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850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862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746</v>
      </c>
      <c r="C12" s="245">
        <f t="shared" si="0"/>
        <v>641485.67000000004</v>
      </c>
      <c r="D12" s="20">
        <f>'DOE25'!L197+'DOE25'!L215+'DOE25'!L233-F12-G12</f>
        <v>627125.08000000007</v>
      </c>
      <c r="E12" s="243"/>
      <c r="F12" s="255">
        <f>'DOE25'!J197+'DOE25'!J215+'DOE25'!J233</f>
        <v>1033.97</v>
      </c>
      <c r="G12" s="53">
        <f>'DOE25'!K197+'DOE25'!K215+'DOE25'!K233</f>
        <v>13326.62</v>
      </c>
      <c r="H12" s="259"/>
    </row>
    <row r="13" spans="1:9" x14ac:dyDescent="0.2">
      <c r="A13" s="32">
        <v>2500</v>
      </c>
      <c r="B13" t="s">
        <v>834</v>
      </c>
      <c r="C13" s="245">
        <f t="shared" si="0"/>
        <v>271978.88</v>
      </c>
      <c r="D13" s="243"/>
      <c r="E13" s="20">
        <f>'DOE25'!L198+'DOE25'!L216+'DOE25'!L234-F13-G13</f>
        <v>243669.16000000003</v>
      </c>
      <c r="F13" s="255">
        <f>'DOE25'!J198+'DOE25'!J216+'DOE25'!J234</f>
        <v>1570.72</v>
      </c>
      <c r="G13" s="53">
        <f>'DOE25'!K198+'DOE25'!K216+'DOE25'!K234</f>
        <v>26739</v>
      </c>
      <c r="H13" s="259"/>
    </row>
    <row r="14" spans="1:9" x14ac:dyDescent="0.2">
      <c r="A14" s="32">
        <v>2600</v>
      </c>
      <c r="B14" t="s">
        <v>863</v>
      </c>
      <c r="C14" s="245">
        <f t="shared" si="0"/>
        <v>847655.03999999992</v>
      </c>
      <c r="D14" s="20">
        <f>'DOE25'!L199+'DOE25'!L217+'DOE25'!L235-F14-G14</f>
        <v>841045.12999999989</v>
      </c>
      <c r="E14" s="243"/>
      <c r="F14" s="255">
        <f>'DOE25'!J199+'DOE25'!J217+'DOE25'!J235</f>
        <v>6609.91</v>
      </c>
      <c r="G14" s="53">
        <f>'DOE25'!K199+'DOE25'!K217+'DOE25'!K235</f>
        <v>0</v>
      </c>
      <c r="H14" s="259"/>
    </row>
    <row r="15" spans="1:9" x14ac:dyDescent="0.2">
      <c r="A15" s="32">
        <v>2700</v>
      </c>
      <c r="B15" t="s">
        <v>835</v>
      </c>
      <c r="C15" s="245">
        <f t="shared" si="0"/>
        <v>506779.15</v>
      </c>
      <c r="D15" s="20">
        <f>'DOE25'!L200+'DOE25'!L218+'DOE25'!L236-F15-G15</f>
        <v>506779.15</v>
      </c>
      <c r="E15" s="243"/>
      <c r="F15" s="255">
        <f>'DOE25'!J200+'DOE25'!J218+'DOE25'!J236</f>
        <v>0</v>
      </c>
      <c r="G15" s="53">
        <f>'DOE25'!K200+'DOE25'!K218+'DOE25'!K236</f>
        <v>0</v>
      </c>
      <c r="H15" s="259"/>
    </row>
    <row r="16" spans="1:9" x14ac:dyDescent="0.2">
      <c r="A16" s="32">
        <v>2800</v>
      </c>
      <c r="B16" t="s">
        <v>836</v>
      </c>
      <c r="C16" s="245">
        <f t="shared" si="0"/>
        <v>111610.26</v>
      </c>
      <c r="D16" s="243"/>
      <c r="E16" s="20">
        <f>'DOE25'!L201+'DOE25'!L219+'DOE25'!L237-F16-G16</f>
        <v>109495.08</v>
      </c>
      <c r="F16" s="255">
        <f>'DOE25'!J201+'DOE25'!J219+'DOE25'!J237</f>
        <v>2115.1799999999998</v>
      </c>
      <c r="G16" s="53">
        <f>'DOE25'!K201+'DOE25'!K219+'DOE25'!K237</f>
        <v>0</v>
      </c>
      <c r="H16" s="259"/>
    </row>
    <row r="17" spans="1:8" x14ac:dyDescent="0.2">
      <c r="A17" s="32">
        <v>1600</v>
      </c>
      <c r="B17" t="s">
        <v>837</v>
      </c>
      <c r="C17" s="245">
        <f t="shared" si="0"/>
        <v>0</v>
      </c>
      <c r="D17" s="20">
        <f>'DOE25'!L243-F17-G17</f>
        <v>0</v>
      </c>
      <c r="E17" s="243"/>
      <c r="F17" s="255">
        <f>'DOE25'!J243</f>
        <v>0</v>
      </c>
      <c r="G17" s="53">
        <f>'DOE25'!K243</f>
        <v>0</v>
      </c>
      <c r="H17" s="259"/>
    </row>
    <row r="18" spans="1:8" x14ac:dyDescent="0.2">
      <c r="A18" s="32">
        <v>1700</v>
      </c>
      <c r="B18" t="s">
        <v>838</v>
      </c>
      <c r="C18" s="245">
        <f t="shared" si="0"/>
        <v>0</v>
      </c>
      <c r="D18" s="20">
        <f>'DOE25'!L244-F18-G18</f>
        <v>0</v>
      </c>
      <c r="E18" s="243"/>
      <c r="F18" s="255">
        <f>'DOE25'!J244</f>
        <v>0</v>
      </c>
      <c r="G18" s="53">
        <f>'DOE25'!K244</f>
        <v>0</v>
      </c>
      <c r="H18" s="259"/>
    </row>
    <row r="19" spans="1:8" x14ac:dyDescent="0.2">
      <c r="A19" s="32">
        <v>1800</v>
      </c>
      <c r="B19" t="s">
        <v>839</v>
      </c>
      <c r="C19" s="245">
        <f t="shared" si="0"/>
        <v>0</v>
      </c>
      <c r="D19" s="20">
        <f>'DOE25'!L245-F19-G19</f>
        <v>0</v>
      </c>
      <c r="E19" s="243"/>
      <c r="F19" s="255">
        <f>'DOE25'!J245</f>
        <v>0</v>
      </c>
      <c r="G19" s="53">
        <f>'DOE25'!K245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827</v>
      </c>
      <c r="F21" s="260"/>
      <c r="G21" s="52"/>
      <c r="H21" s="261"/>
    </row>
    <row r="22" spans="1:8" x14ac:dyDescent="0.2">
      <c r="A22" s="32">
        <v>4000</v>
      </c>
      <c r="B22" t="s">
        <v>864</v>
      </c>
      <c r="C22" s="245">
        <f>SUM(D22:H22)</f>
        <v>155542.70000000001</v>
      </c>
      <c r="D22" s="243"/>
      <c r="E22" s="243"/>
      <c r="F22" s="255">
        <f>'DOE25'!L247+'DOE25'!L328</f>
        <v>155542.70000000001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487</v>
      </c>
      <c r="F24" s="260"/>
      <c r="G24" s="52"/>
      <c r="H24" s="261"/>
    </row>
    <row r="25" spans="1:8" x14ac:dyDescent="0.2">
      <c r="A25" s="32" t="s">
        <v>840</v>
      </c>
      <c r="B25" t="s">
        <v>841</v>
      </c>
      <c r="C25" s="245">
        <f>SUM(D25:H25)</f>
        <v>486044</v>
      </c>
      <c r="D25" s="243"/>
      <c r="E25" s="243"/>
      <c r="F25" s="258"/>
      <c r="G25" s="256"/>
      <c r="H25" s="257">
        <f>'DOE25'!L252+'DOE25'!L253+'DOE25'!L333+'DOE25'!L334</f>
        <v>486044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843</v>
      </c>
      <c r="F27" s="260"/>
      <c r="G27" s="52"/>
      <c r="H27" s="261"/>
    </row>
    <row r="28" spans="1:8" x14ac:dyDescent="0.2">
      <c r="A28" s="32">
        <v>3100</v>
      </c>
      <c r="B28" t="s">
        <v>856</v>
      </c>
      <c r="F28" s="260"/>
      <c r="G28" s="52"/>
      <c r="H28" s="261"/>
    </row>
    <row r="29" spans="1:8" x14ac:dyDescent="0.2">
      <c r="A29" s="32"/>
      <c r="B29" t="s">
        <v>844</v>
      </c>
      <c r="C29" s="245">
        <f>SUM(D29:H29)</f>
        <v>132088.75999999995</v>
      </c>
      <c r="D29" s="20">
        <f>'DOE25'!L350+'DOE25'!L351+'DOE25'!L352-'DOE25'!I359-F29-G29</f>
        <v>123680.00999999995</v>
      </c>
      <c r="E29" s="243"/>
      <c r="F29" s="255">
        <f>'DOE25'!J350+'DOE25'!J351+'DOE25'!J352</f>
        <v>7821.25</v>
      </c>
      <c r="G29" s="53">
        <f>'DOE25'!K350+'DOE25'!K351+'DOE25'!K352</f>
        <v>587.5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858</v>
      </c>
      <c r="B31" t="s">
        <v>857</v>
      </c>
      <c r="C31" s="245">
        <f>SUM(D31:H31)</f>
        <v>413227.46</v>
      </c>
      <c r="D31" s="20">
        <f>'DOE25'!L282+'DOE25'!L301+'DOE25'!L320+'DOE25'!L325+'DOE25'!L326+'DOE25'!L327-F31-G31</f>
        <v>396399.98000000004</v>
      </c>
      <c r="E31" s="243"/>
      <c r="F31" s="255">
        <f>'DOE25'!J282+'DOE25'!J301+'DOE25'!J320+'DOE25'!J325+'DOE25'!J326+'DOE25'!J327</f>
        <v>16293.529999999999</v>
      </c>
      <c r="G31" s="53">
        <f>'DOE25'!K282+'DOE25'!K301+'DOE25'!K320+'DOE25'!K325+'DOE25'!K326+'DOE25'!K327</f>
        <v>533.95000000000005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845</v>
      </c>
      <c r="D33" s="246">
        <f>SUM(D5:D31)</f>
        <v>9738500.6900000013</v>
      </c>
      <c r="E33" s="246">
        <f>SUM(E5:E31)</f>
        <v>842326.76</v>
      </c>
      <c r="F33" s="246">
        <f>SUM(F5:F31)</f>
        <v>238359.28</v>
      </c>
      <c r="G33" s="246">
        <f>SUM(G5:G31)</f>
        <v>68438.87</v>
      </c>
      <c r="H33" s="246">
        <f>SUM(H5:H31)</f>
        <v>486044</v>
      </c>
    </row>
    <row r="35" spans="2:8" ht="12" thickBot="1" x14ac:dyDescent="0.25">
      <c r="B35" s="253" t="s">
        <v>878</v>
      </c>
      <c r="D35" s="254">
        <f>E33</f>
        <v>842326.76</v>
      </c>
      <c r="E35" s="249"/>
    </row>
    <row r="36" spans="2:8" ht="12" thickTop="1" x14ac:dyDescent="0.2">
      <c r="B36" t="s">
        <v>846</v>
      </c>
      <c r="D36" s="20">
        <f>D33</f>
        <v>9738500.6900000013</v>
      </c>
    </row>
    <row r="38" spans="2:8" x14ac:dyDescent="0.2">
      <c r="B38" s="186" t="s">
        <v>887</v>
      </c>
      <c r="C38" s="266"/>
      <c r="D38" s="267"/>
    </row>
    <row r="39" spans="2:8" x14ac:dyDescent="0.2">
      <c r="B39" t="s">
        <v>855</v>
      </c>
      <c r="D39" s="180" t="str">
        <f>IF(E10&gt;0,"Y","N")</f>
        <v>N</v>
      </c>
    </row>
    <row r="41" spans="2:8" x14ac:dyDescent="0.2">
      <c r="B41" s="264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B49A-7294-4643-8E9E-1BBF90A8257B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Wilton-Lyndeborough Cooperative S.D.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278900.15000000002</v>
      </c>
      <c r="D9" s="95">
        <f>'DOE25'!G9</f>
        <v>26995.56</v>
      </c>
      <c r="E9" s="95">
        <f>'DOE25'!H9</f>
        <v>0</v>
      </c>
      <c r="F9" s="95">
        <f>'DOE25'!I9</f>
        <v>0</v>
      </c>
      <c r="G9" s="95">
        <f>'DOE25'!J9</f>
        <v>268920.40999999997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117680.92</v>
      </c>
      <c r="D12" s="95">
        <f>'DOE25'!G12</f>
        <v>0</v>
      </c>
      <c r="E12" s="95">
        <f>'DOE25'!H12</f>
        <v>47.3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1947.21</v>
      </c>
      <c r="E13" s="95">
        <f>'DOE25'!H13</f>
        <v>103578.03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4650.25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401231.32</v>
      </c>
      <c r="D19" s="41">
        <f>SUM(D9:D18)</f>
        <v>28942.77</v>
      </c>
      <c r="E19" s="41">
        <f>SUM(E9:E18)</f>
        <v>103625.33</v>
      </c>
      <c r="F19" s="41">
        <f>SUM(F9:F18)</f>
        <v>0</v>
      </c>
      <c r="G19" s="41">
        <f>SUM(G9:G18)</f>
        <v>268920.40999999997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47.3</v>
      </c>
      <c r="D22" s="95">
        <f>'DOE25'!G23</f>
        <v>14102.89</v>
      </c>
      <c r="E22" s="95">
        <f>'DOE25'!H23</f>
        <v>103578.03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56476.35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6007.73</v>
      </c>
      <c r="D24" s="95">
        <f>'DOE25'!G25</f>
        <v>0</v>
      </c>
      <c r="E24" s="95">
        <f>'DOE25'!H25</f>
        <v>47.3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1380.61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62531.380000000005</v>
      </c>
      <c r="D32" s="41">
        <f>SUM(D22:D31)</f>
        <v>15483.5</v>
      </c>
      <c r="E32" s="41">
        <f>SUM(E22:E31)</f>
        <v>103625.33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165154.53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2225.6799999999998</v>
      </c>
      <c r="D40" s="95">
        <f>'DOE25'!G41</f>
        <v>13459.27</v>
      </c>
      <c r="E40" s="95">
        <f>'DOE25'!H41</f>
        <v>0</v>
      </c>
      <c r="F40" s="95">
        <f>'DOE25'!I41</f>
        <v>0</v>
      </c>
      <c r="G40" s="95">
        <f>'DOE25'!J41</f>
        <v>268920.40999999997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171319.73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338699.94</v>
      </c>
      <c r="D42" s="41">
        <f>SUM(D34:D41)</f>
        <v>13459.27</v>
      </c>
      <c r="E42" s="41">
        <f>SUM(E34:E41)</f>
        <v>0</v>
      </c>
      <c r="F42" s="41">
        <f>SUM(F34:F41)</f>
        <v>0</v>
      </c>
      <c r="G42" s="41">
        <f>SUM(G34:G41)</f>
        <v>268920.40999999997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401231.32</v>
      </c>
      <c r="D43" s="41">
        <f>D42+D32</f>
        <v>28942.77</v>
      </c>
      <c r="E43" s="41">
        <f>E42+E32</f>
        <v>103625.33</v>
      </c>
      <c r="F43" s="41">
        <f>F42+F32</f>
        <v>0</v>
      </c>
      <c r="G43" s="41">
        <f>G42+G32</f>
        <v>268920.40999999997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7330133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15605.74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4714.45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310.39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110769.22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127195.92</v>
      </c>
      <c r="D53" s="95">
        <f>SUM('DOE25'!G90:G102)</f>
        <v>9862.619999999999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147516.10999999999</v>
      </c>
      <c r="D54" s="130">
        <f>SUM(D49:D53)</f>
        <v>120631.84</v>
      </c>
      <c r="E54" s="130">
        <f>SUM(E49:E53)</f>
        <v>0</v>
      </c>
      <c r="F54" s="130">
        <f>SUM(F49:F53)</f>
        <v>0</v>
      </c>
      <c r="G54" s="130">
        <f>SUM(G49:G53)</f>
        <v>310.39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7477649.1100000003</v>
      </c>
      <c r="D55" s="22">
        <f>D48+D54</f>
        <v>120631.84</v>
      </c>
      <c r="E55" s="22">
        <f>E48+E54</f>
        <v>0</v>
      </c>
      <c r="F55" s="22">
        <f>F48+F54</f>
        <v>0</v>
      </c>
      <c r="G55" s="22">
        <f>G48+G54</f>
        <v>310.39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1639959.15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1313734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59480.85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3013174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130000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51750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153996.42000000001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1640.8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9900</v>
      </c>
      <c r="D69" s="95">
        <f>SUM('DOE25'!G123:G127)</f>
        <v>2516.35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347287.22000000003</v>
      </c>
      <c r="D70" s="130">
        <f>SUM(D64:D69)</f>
        <v>2516.35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2500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3360461.22</v>
      </c>
      <c r="D73" s="130">
        <f>SUM(D71:D72)+D70+D62</f>
        <v>2516.35</v>
      </c>
      <c r="E73" s="130">
        <f>SUM(E71:E72)+E70+E62</f>
        <v>2500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42694.53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70767.11</v>
      </c>
      <c r="D80" s="95">
        <f>SUM('DOE25'!G145:G153)</f>
        <v>67376.91</v>
      </c>
      <c r="E80" s="95">
        <f>SUM('DOE25'!H145:H153)</f>
        <v>368089.72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70767.11</v>
      </c>
      <c r="D83" s="131">
        <f>SUM(D77:D82)</f>
        <v>67376.91</v>
      </c>
      <c r="E83" s="131">
        <f>SUM(E77:E82)</f>
        <v>410784.25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98000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121194.95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121194.95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98000</v>
      </c>
    </row>
    <row r="96" spans="1:7" ht="12.75" thickTop="1" thickBot="1" x14ac:dyDescent="0.25">
      <c r="A96" s="33" t="s">
        <v>796</v>
      </c>
      <c r="C96" s="86">
        <f>C55+C73+C83+C95</f>
        <v>11030072.389999999</v>
      </c>
      <c r="D96" s="86">
        <f>D55+D73+D83+D95</f>
        <v>190525.1</v>
      </c>
      <c r="E96" s="86">
        <f>E55+E73+E83+E95</f>
        <v>413284.25</v>
      </c>
      <c r="F96" s="86">
        <f>F55+F73+F83+F95</f>
        <v>0</v>
      </c>
      <c r="G96" s="86">
        <f>G55+G73+G95</f>
        <v>98310.39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4130792.4599999995</v>
      </c>
      <c r="D101" s="24" t="s">
        <v>312</v>
      </c>
      <c r="E101" s="95">
        <f>('DOE25'!L268)+('DOE25'!L287)+('DOE25'!L306)</f>
        <v>77201.63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1879667.21</v>
      </c>
      <c r="D102" s="24" t="s">
        <v>312</v>
      </c>
      <c r="E102" s="95">
        <f>('DOE25'!L269)+('DOE25'!L288)+('DOE25'!L307)</f>
        <v>16629.150000000001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26769.85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138203.89000000001</v>
      </c>
      <c r="D104" s="24" t="s">
        <v>312</v>
      </c>
      <c r="E104" s="95">
        <f>+('DOE25'!L271)+('DOE25'!L290)+('DOE25'!L309)</f>
        <v>4906.7299999999996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6175433.4099999992</v>
      </c>
      <c r="D107" s="86">
        <f>SUM(D101:D106)</f>
        <v>0</v>
      </c>
      <c r="E107" s="86">
        <f>SUM(E101:E106)</f>
        <v>98737.51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900913.65</v>
      </c>
      <c r="D110" s="24" t="s">
        <v>312</v>
      </c>
      <c r="E110" s="95">
        <f>+('DOE25'!L273)+('DOE25'!L292)+('DOE25'!L311)</f>
        <v>162422.62999999998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234416.01</v>
      </c>
      <c r="D111" s="24" t="s">
        <v>312</v>
      </c>
      <c r="E111" s="95">
        <f>+('DOE25'!L274)+('DOE25'!L293)+('DOE25'!L312)</f>
        <v>149223.1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496494.61000000004</v>
      </c>
      <c r="D112" s="24" t="s">
        <v>312</v>
      </c>
      <c r="E112" s="95">
        <f>+('DOE25'!L275)+('DOE25'!L294)+('DOE25'!L313)</f>
        <v>1963.3600000000001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641485.67000000004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271978.88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847655.03999999992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506779.15</v>
      </c>
      <c r="D116" s="24" t="s">
        <v>312</v>
      </c>
      <c r="E116" s="95">
        <f>+('DOE25'!L279)+('DOE25'!L298)+('DOE25'!L317)</f>
        <v>880.86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111610.26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198253.43999999997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4011333.27</v>
      </c>
      <c r="D120" s="86">
        <f>SUM(D110:D119)</f>
        <v>198253.43999999997</v>
      </c>
      <c r="E120" s="86">
        <f>SUM(E110:E119)</f>
        <v>314489.94999999995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155542.70000000001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325000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161044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2645.56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98310.389999999985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-310.38999999998487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739586.7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2645.56</v>
      </c>
    </row>
    <row r="137" spans="1:9" ht="12.75" thickTop="1" thickBot="1" x14ac:dyDescent="0.25">
      <c r="A137" s="33" t="s">
        <v>267</v>
      </c>
      <c r="C137" s="86">
        <f>(C107+C120+C136)</f>
        <v>10926353.379999999</v>
      </c>
      <c r="D137" s="86">
        <f>(D107+D120+D136)</f>
        <v>198253.43999999997</v>
      </c>
      <c r="E137" s="86">
        <f>(E107+E120+E136)</f>
        <v>413227.45999999996</v>
      </c>
      <c r="F137" s="86">
        <f>(F107+F120+F136)</f>
        <v>0</v>
      </c>
      <c r="G137" s="86">
        <f>(G107+G120+G136)</f>
        <v>2645.56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6476775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3230000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3230000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325000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325000</v>
      </c>
    </row>
    <row r="151" spans="1:7" x14ac:dyDescent="0.2">
      <c r="A151" s="22" t="s">
        <v>35</v>
      </c>
      <c r="B151" s="137">
        <f>'DOE25'!F488</f>
        <v>2905000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2905000</v>
      </c>
    </row>
    <row r="152" spans="1:7" x14ac:dyDescent="0.2">
      <c r="A152" s="22" t="s">
        <v>36</v>
      </c>
      <c r="B152" s="137">
        <f>'DOE25'!F489</f>
        <v>683681.25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683681.25</v>
      </c>
    </row>
    <row r="153" spans="1:7" x14ac:dyDescent="0.2">
      <c r="A153" s="22" t="s">
        <v>37</v>
      </c>
      <c r="B153" s="137">
        <f>'DOE25'!F490</f>
        <v>3588681.25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3588681.25</v>
      </c>
    </row>
    <row r="154" spans="1:7" x14ac:dyDescent="0.2">
      <c r="A154" s="22" t="s">
        <v>38</v>
      </c>
      <c r="B154" s="137">
        <f>'DOE25'!F491</f>
        <v>325000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325000</v>
      </c>
    </row>
    <row r="155" spans="1:7" x14ac:dyDescent="0.2">
      <c r="A155" s="22" t="s">
        <v>39</v>
      </c>
      <c r="B155" s="137">
        <f>'DOE25'!F492</f>
        <v>143981.25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143981.25</v>
      </c>
    </row>
    <row r="156" spans="1:7" x14ac:dyDescent="0.2">
      <c r="A156" s="22" t="s">
        <v>269</v>
      </c>
      <c r="B156" s="137">
        <f>'DOE25'!F493</f>
        <v>468981.25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468981.25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7D2F-E050-47C1-A33D-C30D42385834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8" t="s">
        <v>771</v>
      </c>
      <c r="B1" s="278"/>
      <c r="C1" s="278"/>
      <c r="D1" s="278"/>
    </row>
    <row r="2" spans="1:4" x14ac:dyDescent="0.2">
      <c r="A2" s="186" t="s">
        <v>748</v>
      </c>
      <c r="B2" s="185" t="str">
        <f>'DOE25'!A2</f>
        <v>Wilton-Lyndeborough Cooperative S.D.</v>
      </c>
    </row>
    <row r="3" spans="1:4" x14ac:dyDescent="0.2">
      <c r="B3" s="187" t="s">
        <v>891</v>
      </c>
    </row>
    <row r="4" spans="1:4" x14ac:dyDescent="0.2">
      <c r="B4" t="s">
        <v>61</v>
      </c>
      <c r="C4" s="178">
        <f>IF('DOE25'!F655+'DOE25'!F660=0,0,ROUND('DOE25'!F662,0))</f>
        <v>13383</v>
      </c>
    </row>
    <row r="5" spans="1:4" x14ac:dyDescent="0.2">
      <c r="B5" t="s">
        <v>735</v>
      </c>
      <c r="C5" s="178">
        <f>IF('DOE25'!G655+'DOE25'!G660=0,0,ROUND('DOE25'!G662,0))</f>
        <v>17093</v>
      </c>
    </row>
    <row r="6" spans="1:4" x14ac:dyDescent="0.2">
      <c r="B6" t="s">
        <v>62</v>
      </c>
      <c r="C6" s="178">
        <f>IF('DOE25'!H655+'DOE25'!H660=0,0,ROUND('DOE25'!H662,0))</f>
        <v>13540</v>
      </c>
    </row>
    <row r="7" spans="1:4" x14ac:dyDescent="0.2">
      <c r="B7" t="s">
        <v>736</v>
      </c>
      <c r="C7" s="178">
        <f>IF('DOE25'!I655+'DOE25'!I660=0,0,ROUND('DOE25'!I662,0))</f>
        <v>14038</v>
      </c>
    </row>
    <row r="9" spans="1:4" x14ac:dyDescent="0.2">
      <c r="A9" s="186" t="s">
        <v>94</v>
      </c>
      <c r="B9" s="187" t="s">
        <v>892</v>
      </c>
      <c r="C9" s="180" t="s">
        <v>755</v>
      </c>
      <c r="D9" s="180" t="s">
        <v>756</v>
      </c>
    </row>
    <row r="10" spans="1:4" x14ac:dyDescent="0.2">
      <c r="A10">
        <v>1100</v>
      </c>
      <c r="B10" t="s">
        <v>737</v>
      </c>
      <c r="C10" s="178">
        <f>ROUND('DOE25'!L189+'DOE25'!L207+'DOE25'!L225+'DOE25'!L268+'DOE25'!L287+'DOE25'!L306,0)</f>
        <v>4207994</v>
      </c>
      <c r="D10" s="181">
        <f>ROUND((C10/$C$28)*100,1)</f>
        <v>38.799999999999997</v>
      </c>
    </row>
    <row r="11" spans="1:4" x14ac:dyDescent="0.2">
      <c r="A11">
        <v>1200</v>
      </c>
      <c r="B11" t="s">
        <v>738</v>
      </c>
      <c r="C11" s="178">
        <f>ROUND('DOE25'!L190+'DOE25'!L208+'DOE25'!L226+'DOE25'!L269+'DOE25'!L288+'DOE25'!L307,0)</f>
        <v>1896296</v>
      </c>
      <c r="D11" s="181">
        <f>ROUND((C11/$C$28)*100,1)</f>
        <v>17.5</v>
      </c>
    </row>
    <row r="12" spans="1:4" x14ac:dyDescent="0.2">
      <c r="A12">
        <v>1300</v>
      </c>
      <c r="B12" t="s">
        <v>739</v>
      </c>
      <c r="C12" s="178">
        <f>ROUND('DOE25'!L191+'DOE25'!L209+'DOE25'!L227+'DOE25'!L270+'DOE25'!L289+'DOE25'!L308,0)</f>
        <v>26770</v>
      </c>
      <c r="D12" s="181">
        <f>ROUND((C12/$C$28)*100,1)</f>
        <v>0.2</v>
      </c>
    </row>
    <row r="13" spans="1:4" x14ac:dyDescent="0.2">
      <c r="A13">
        <v>1400</v>
      </c>
      <c r="B13" t="s">
        <v>740</v>
      </c>
      <c r="C13" s="178">
        <f>ROUND('DOE25'!L192+'DOE25'!L210+'DOE25'!L228+'DOE25'!L271+'DOE25'!L290+'DOE25'!L309,0)</f>
        <v>143111</v>
      </c>
      <c r="D13" s="181">
        <f>ROUND((C13/$C$28)*100,1)</f>
        <v>1.3</v>
      </c>
    </row>
    <row r="14" spans="1:4" x14ac:dyDescent="0.2">
      <c r="D14" s="181"/>
    </row>
    <row r="15" spans="1:4" x14ac:dyDescent="0.2">
      <c r="A15">
        <v>2100</v>
      </c>
      <c r="B15" t="s">
        <v>741</v>
      </c>
      <c r="C15" s="178">
        <f>ROUND('DOE25'!L194+'DOE25'!L212+'DOE25'!L230+'DOE25'!L273+'DOE25'!L292+'DOE25'!L311,0)</f>
        <v>1063336</v>
      </c>
      <c r="D15" s="181">
        <f t="shared" ref="D15:D27" si="0">ROUND((C15/$C$28)*100,1)</f>
        <v>9.8000000000000007</v>
      </c>
    </row>
    <row r="16" spans="1:4" x14ac:dyDescent="0.2">
      <c r="A16">
        <v>2200</v>
      </c>
      <c r="B16" t="s">
        <v>742</v>
      </c>
      <c r="C16" s="178">
        <f>ROUND('DOE25'!L195+'DOE25'!L213+'DOE25'!L231+'DOE25'!L274+'DOE25'!L293+'DOE25'!L312,0)</f>
        <v>383639</v>
      </c>
      <c r="D16" s="181">
        <f t="shared" si="0"/>
        <v>3.5</v>
      </c>
    </row>
    <row r="17" spans="1:4" x14ac:dyDescent="0.2">
      <c r="A17" s="182" t="s">
        <v>758</v>
      </c>
      <c r="B17" t="s">
        <v>773</v>
      </c>
      <c r="C17" s="178">
        <f>ROUND('DOE25'!L196+'DOE25'!L201+'DOE25'!L214+'DOE25'!L219+'DOE25'!L232+'DOE25'!L237+'DOE25'!L275+'DOE25'!L280+'DOE25'!L294+'DOE25'!L299+'DOE25'!L313+'DOE25'!L318,0)</f>
        <v>610068</v>
      </c>
      <c r="D17" s="181">
        <f t="shared" si="0"/>
        <v>5.6</v>
      </c>
    </row>
    <row r="18" spans="1:4" x14ac:dyDescent="0.2">
      <c r="A18">
        <v>2400</v>
      </c>
      <c r="B18" t="s">
        <v>746</v>
      </c>
      <c r="C18" s="178">
        <f>ROUND('DOE25'!L197+'DOE25'!L215+'DOE25'!L233+'DOE25'!L276+'DOE25'!L295+'DOE25'!L314,0)</f>
        <v>641486</v>
      </c>
      <c r="D18" s="181">
        <f t="shared" si="0"/>
        <v>5.9</v>
      </c>
    </row>
    <row r="19" spans="1:4" x14ac:dyDescent="0.2">
      <c r="A19">
        <v>2500</v>
      </c>
      <c r="B19" t="s">
        <v>743</v>
      </c>
      <c r="C19" s="178">
        <f>ROUND('DOE25'!L198+'DOE25'!L216+'DOE25'!L234+'DOE25'!L277+'DOE25'!L296+'DOE25'!L315,0)</f>
        <v>271979</v>
      </c>
      <c r="D19" s="181">
        <f t="shared" si="0"/>
        <v>2.5</v>
      </c>
    </row>
    <row r="20" spans="1:4" x14ac:dyDescent="0.2">
      <c r="A20">
        <v>2600</v>
      </c>
      <c r="B20" t="s">
        <v>744</v>
      </c>
      <c r="C20" s="178">
        <f>ROUND('DOE25'!L199+'DOE25'!L217+'DOE25'!L235+'DOE25'!L278+'DOE25'!L297+'DOE25'!L316,0)</f>
        <v>847655</v>
      </c>
      <c r="D20" s="181">
        <f t="shared" si="0"/>
        <v>7.8</v>
      </c>
    </row>
    <row r="21" spans="1:4" x14ac:dyDescent="0.2">
      <c r="A21">
        <v>2700</v>
      </c>
      <c r="B21" t="s">
        <v>745</v>
      </c>
      <c r="C21" s="178">
        <f>ROUND('DOE25'!L200+'DOE25'!L218+'DOE25'!L236+'DOE25'!L279+'DOE25'!L298+'DOE25'!L317,0)</f>
        <v>507660</v>
      </c>
      <c r="D21" s="181">
        <f t="shared" si="0"/>
        <v>4.7</v>
      </c>
    </row>
    <row r="22" spans="1:4" x14ac:dyDescent="0.2">
      <c r="A22">
        <v>2900</v>
      </c>
      <c r="B22" t="s">
        <v>747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749</v>
      </c>
      <c r="C23" s="178">
        <f>ROUND('DOE25'!L242+'DOE25'!L324,0)</f>
        <v>0</v>
      </c>
      <c r="D23" s="181">
        <f t="shared" si="0"/>
        <v>0</v>
      </c>
    </row>
    <row r="24" spans="1:4" x14ac:dyDescent="0.2">
      <c r="A24" s="182" t="s">
        <v>757</v>
      </c>
      <c r="B24" t="s">
        <v>750</v>
      </c>
      <c r="C24" s="178">
        <f>ROUND('DOE25'!L243+'DOE25'!L244+'DOE25'!L245+'DOE25'!L246+'DOE25'!L325+'DOE25'!L326+'DOE25'!L327,0)</f>
        <v>0</v>
      </c>
      <c r="D24" s="181">
        <f t="shared" si="0"/>
        <v>0</v>
      </c>
    </row>
    <row r="25" spans="1:4" x14ac:dyDescent="0.2">
      <c r="A25">
        <v>5120</v>
      </c>
      <c r="B25" t="s">
        <v>751</v>
      </c>
      <c r="C25" s="178">
        <f>ROUND('DOE25'!L253+'DOE25'!L334,0)</f>
        <v>161044</v>
      </c>
      <c r="D25" s="181">
        <f t="shared" si="0"/>
        <v>1.5</v>
      </c>
    </row>
    <row r="26" spans="1:4" x14ac:dyDescent="0.2">
      <c r="A26" s="182" t="s">
        <v>752</v>
      </c>
      <c r="B26" t="s">
        <v>753</v>
      </c>
      <c r="C26" s="178">
        <f>'DOE25'!L260+'DOE25'!L261+'DOE25'!L341+'DOE25'!L342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ROUND('DOE25'!L354-'DOE25'!L353,0)-SUM('DOE25'!G89:G102)</f>
        <v>77621.16</v>
      </c>
      <c r="D27" s="181">
        <f t="shared" si="0"/>
        <v>0.7</v>
      </c>
    </row>
    <row r="28" spans="1:4" x14ac:dyDescent="0.2">
      <c r="B28" s="186" t="s">
        <v>754</v>
      </c>
      <c r="C28" s="179">
        <f>SUM(C10:C27)</f>
        <v>10838659.16</v>
      </c>
      <c r="D28" s="183">
        <f>ROUND(SUM(D10:D27),0)</f>
        <v>100</v>
      </c>
    </row>
    <row r="29" spans="1:4" x14ac:dyDescent="0.2">
      <c r="A29">
        <v>4000</v>
      </c>
      <c r="B29" t="s">
        <v>759</v>
      </c>
      <c r="C29" s="178">
        <f>ROUND('DOE25'!L247+'DOE25'!L328+'DOE25'!L366+'DOE25'!L367+'DOE25'!L368+'DOE25'!L369+'DOE25'!L370+'DOE25'!L371+'DOE25'!L372,0)</f>
        <v>155543</v>
      </c>
    </row>
    <row r="30" spans="1:4" x14ac:dyDescent="0.2">
      <c r="B30" s="186" t="s">
        <v>760</v>
      </c>
      <c r="C30" s="179">
        <f>SUM(C28:C29)</f>
        <v>10994202.16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761</v>
      </c>
      <c r="C32" s="179">
        <f>ROUND('DOE25'!L252+'DOE25'!L333,0)</f>
        <v>325000</v>
      </c>
    </row>
    <row r="34" spans="1:4" x14ac:dyDescent="0.2">
      <c r="A34" s="186" t="s">
        <v>94</v>
      </c>
      <c r="B34" s="187" t="s">
        <v>893</v>
      </c>
      <c r="C34" s="180" t="s">
        <v>755</v>
      </c>
      <c r="D34" s="180" t="s">
        <v>756</v>
      </c>
    </row>
    <row r="35" spans="1:4" x14ac:dyDescent="0.2">
      <c r="A35">
        <v>1100</v>
      </c>
      <c r="B35" s="184" t="s">
        <v>762</v>
      </c>
      <c r="C35" s="178">
        <f>ROUND('DOE25'!F52+'DOE25'!G52+'DOE25'!H52+'DOE25'!I52+'DOE25'!J52,0)</f>
        <v>7330133</v>
      </c>
      <c r="D35" s="181">
        <f t="shared" ref="D35:D40" si="1">ROUND((C35/$C$41)*100,1)</f>
        <v>64.3</v>
      </c>
    </row>
    <row r="36" spans="1:4" x14ac:dyDescent="0.2">
      <c r="B36" s="184" t="s">
        <v>774</v>
      </c>
      <c r="C36" s="178">
        <f>SUM('DOE25'!F104:J104)-SUM('DOE25'!G89:G102)+('DOE25'!F166+'DOE25'!F167+'DOE25'!I166+'DOE25'!I167)-C35</f>
        <v>147826.5</v>
      </c>
      <c r="D36" s="181">
        <f t="shared" si="1"/>
        <v>1.3</v>
      </c>
    </row>
    <row r="37" spans="1:4" x14ac:dyDescent="0.2">
      <c r="A37" s="182" t="s">
        <v>890</v>
      </c>
      <c r="B37" s="184" t="s">
        <v>763</v>
      </c>
      <c r="C37" s="178">
        <f>ROUND('DOE25'!F109+'DOE25'!F110+'DOE25'!F111,0)</f>
        <v>3013174</v>
      </c>
      <c r="D37" s="181">
        <f t="shared" si="1"/>
        <v>26.4</v>
      </c>
    </row>
    <row r="38" spans="1:4" x14ac:dyDescent="0.2">
      <c r="A38" s="182" t="s">
        <v>769</v>
      </c>
      <c r="B38" s="184" t="s">
        <v>764</v>
      </c>
      <c r="C38" s="178">
        <f>ROUND(SUM('DOE25'!F132:J132)-SUM('DOE25'!F109:F111),0)</f>
        <v>352304</v>
      </c>
      <c r="D38" s="181">
        <f t="shared" si="1"/>
        <v>3.1</v>
      </c>
    </row>
    <row r="39" spans="1:4" x14ac:dyDescent="0.2">
      <c r="A39">
        <v>4000</v>
      </c>
      <c r="B39" s="184" t="s">
        <v>765</v>
      </c>
      <c r="C39" s="178">
        <f>ROUND('DOE25'!F161+'DOE25'!G161+'DOE25'!H161+'DOE25'!I161,0)</f>
        <v>548928</v>
      </c>
      <c r="D39" s="181">
        <f t="shared" si="1"/>
        <v>4.8</v>
      </c>
    </row>
    <row r="40" spans="1:4" x14ac:dyDescent="0.2">
      <c r="A40" s="182" t="s">
        <v>770</v>
      </c>
      <c r="B40" s="184" t="s">
        <v>766</v>
      </c>
      <c r="C40" s="178">
        <f>ROUND(SUM('DOE25'!F181:F183)+SUM('DOE25'!G181:G183)+SUM('DOE25'!H181:H183)+SUM('DOE25'!I181:I183),0)</f>
        <v>0</v>
      </c>
      <c r="D40" s="181">
        <f t="shared" si="1"/>
        <v>0</v>
      </c>
    </row>
    <row r="41" spans="1:4" x14ac:dyDescent="0.2">
      <c r="B41" s="186" t="s">
        <v>767</v>
      </c>
      <c r="C41" s="179">
        <f>SUM(C35:C40)</f>
        <v>11392365.5</v>
      </c>
      <c r="D41" s="183">
        <f>SUM(D35:D40)</f>
        <v>99.899999999999991</v>
      </c>
    </row>
    <row r="42" spans="1:4" x14ac:dyDescent="0.2">
      <c r="A42" s="182" t="s">
        <v>772</v>
      </c>
      <c r="B42" s="184" t="s">
        <v>768</v>
      </c>
      <c r="C42" s="178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1A7E-6CDA-43FE-9972-112684F79A1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801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798</v>
      </c>
      <c r="B2" s="286"/>
      <c r="C2" s="286"/>
      <c r="D2" s="286"/>
      <c r="E2" s="286"/>
      <c r="F2" s="291" t="str">
        <f>'DOE25'!A2</f>
        <v>Wilton-Lyndeborough Cooperative S.D.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799</v>
      </c>
      <c r="B3" s="217" t="s">
        <v>800</v>
      </c>
      <c r="C3" s="289" t="s">
        <v>802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8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8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11"/>
      <c r="O29" s="211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11"/>
      <c r="O30" s="211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11"/>
      <c r="O31" s="211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23"/>
      <c r="O32" s="22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4"/>
      <c r="AA32" s="218"/>
      <c r="AB32" s="21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8"/>
      <c r="AO32" s="21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8"/>
      <c r="BB32" s="219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8"/>
      <c r="BO32" s="219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8"/>
      <c r="CB32" s="21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8"/>
      <c r="CO32" s="21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8"/>
      <c r="DB32" s="219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8"/>
      <c r="DO32" s="219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8"/>
      <c r="EB32" s="219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8"/>
      <c r="EO32" s="219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8"/>
      <c r="FB32" s="219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8"/>
      <c r="FO32" s="219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8"/>
      <c r="GB32" s="219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8"/>
      <c r="GO32" s="219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8"/>
      <c r="HB32" s="219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8"/>
      <c r="HO32" s="219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8"/>
      <c r="IB32" s="219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8"/>
      <c r="IO32" s="219"/>
      <c r="IP32" s="279"/>
      <c r="IQ32" s="279"/>
      <c r="IR32" s="279"/>
      <c r="IS32" s="279"/>
      <c r="IT32" s="279"/>
      <c r="IU32" s="279"/>
      <c r="IV32" s="279"/>
    </row>
    <row r="33" spans="1:256" x14ac:dyDescent="0.2">
      <c r="A33" s="218"/>
      <c r="B33" s="21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11"/>
      <c r="O38" s="211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11"/>
      <c r="O39" s="211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11"/>
      <c r="O40" s="211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 x14ac:dyDescent="0.2">
      <c r="A60" s="218"/>
      <c r="B60" s="21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 x14ac:dyDescent="0.2">
      <c r="A61" s="218"/>
      <c r="B61" s="21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 x14ac:dyDescent="0.2">
      <c r="A62" s="218"/>
      <c r="B62" s="219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 x14ac:dyDescent="0.2">
      <c r="A63" s="218"/>
      <c r="B63" s="21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 x14ac:dyDescent="0.2">
      <c r="A64" s="218"/>
      <c r="B64" s="21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 x14ac:dyDescent="0.2">
      <c r="A65" s="218"/>
      <c r="B65" s="21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 x14ac:dyDescent="0.2">
      <c r="A66" s="218"/>
      <c r="B66" s="219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 x14ac:dyDescent="0.2">
      <c r="A67" s="218"/>
      <c r="B67" s="219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 x14ac:dyDescent="0.2">
      <c r="A68" s="218"/>
      <c r="B68" s="21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 x14ac:dyDescent="0.2">
      <c r="A69" s="218"/>
      <c r="B69" s="21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 x14ac:dyDescent="0.25">
      <c r="A70" s="220"/>
      <c r="B70" s="221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4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5" t="s">
        <v>879</v>
      </c>
      <c r="B72" s="295"/>
      <c r="C72" s="295"/>
      <c r="D72" s="295"/>
      <c r="E72" s="29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799</v>
      </c>
      <c r="B73" s="210" t="s">
        <v>800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P32:Z32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FP31:FZ31"/>
    <mergeCell ref="GC31:GM31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BP38:BZ38"/>
    <mergeCell ref="CC38:CM38"/>
    <mergeCell ref="CC32:CM32"/>
    <mergeCell ref="CP38:CZ38"/>
    <mergeCell ref="AC38:AM38"/>
    <mergeCell ref="AP38:AZ38"/>
    <mergeCell ref="FP38:FZ38"/>
    <mergeCell ref="GC38:GM38"/>
    <mergeCell ref="GP38:GZ38"/>
    <mergeCell ref="DC38:DM38"/>
    <mergeCell ref="DP38:DZ38"/>
    <mergeCell ref="EC38:EM38"/>
    <mergeCell ref="EP38:EZ38"/>
    <mergeCell ref="IP39:IV39"/>
    <mergeCell ref="EP39:EZ39"/>
    <mergeCell ref="FC39:FM39"/>
    <mergeCell ref="FP39:FZ39"/>
    <mergeCell ref="IC39:IM39"/>
    <mergeCell ref="HC38:HM38"/>
    <mergeCell ref="HP38:HZ38"/>
    <mergeCell ref="IC38:IM38"/>
    <mergeCell ref="IP38:IV38"/>
    <mergeCell ref="FC38:FM38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BP39:BZ39"/>
    <mergeCell ref="BC40:BM40"/>
    <mergeCell ref="BP40:BZ40"/>
    <mergeCell ref="FC40:FM40"/>
    <mergeCell ref="CC39:CM39"/>
    <mergeCell ref="CP39:CZ39"/>
    <mergeCell ref="FP40:FZ40"/>
    <mergeCell ref="CC40:CM40"/>
    <mergeCell ref="CP40:CZ40"/>
    <mergeCell ref="DC40:DM40"/>
    <mergeCell ref="EP40:EZ40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52:M52"/>
    <mergeCell ref="C50:M50"/>
    <mergeCell ref="C47:M47"/>
    <mergeCell ref="C48:M48"/>
    <mergeCell ref="C49:M49"/>
    <mergeCell ref="C51:M51"/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2011-08-22T17:00:55Z</cp:lastPrinted>
  <dcterms:created xsi:type="dcterms:W3CDTF">1997-12-04T19:04:30Z</dcterms:created>
  <dcterms:modified xsi:type="dcterms:W3CDTF">2025-01-16T15:39:03Z</dcterms:modified>
</cp:coreProperties>
</file>