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11664FE-E186-4DAD-9E3C-77A852A43BBD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86572B44-3715-492E-AAF3-9C2453FBC53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5" i="1" l="1"/>
  <c r="J225" i="1"/>
  <c r="L225" i="1"/>
  <c r="C10" i="12"/>
  <c r="C12" i="12"/>
  <c r="C11" i="12"/>
  <c r="C21" i="12"/>
  <c r="C20" i="12"/>
  <c r="C19" i="12"/>
  <c r="G233" i="1"/>
  <c r="G231" i="1"/>
  <c r="G228" i="1"/>
  <c r="J594" i="1"/>
  <c r="B19" i="12"/>
  <c r="B20" i="12"/>
  <c r="B10" i="12"/>
  <c r="K313" i="1"/>
  <c r="J306" i="1"/>
  <c r="I307" i="1"/>
  <c r="I306" i="1"/>
  <c r="H307" i="1"/>
  <c r="G307" i="1"/>
  <c r="G306" i="1"/>
  <c r="H147" i="1"/>
  <c r="H146" i="1"/>
  <c r="H151" i="1"/>
  <c r="F42" i="1"/>
  <c r="F41" i="1"/>
  <c r="F30" i="1"/>
  <c r="F13" i="1"/>
  <c r="D9" i="13"/>
  <c r="B21" i="12"/>
  <c r="B22" i="12"/>
  <c r="B12" i="12"/>
  <c r="J235" i="1"/>
  <c r="F492" i="1"/>
  <c r="F487" i="1"/>
  <c r="K228" i="1"/>
  <c r="J231" i="1"/>
  <c r="I228" i="1"/>
  <c r="I231" i="1"/>
  <c r="I230" i="1"/>
  <c r="H236" i="1"/>
  <c r="H235" i="1"/>
  <c r="H232" i="1"/>
  <c r="H231" i="1"/>
  <c r="H230" i="1"/>
  <c r="F231" i="1"/>
  <c r="F228" i="1"/>
  <c r="F235" i="1"/>
  <c r="F230" i="1"/>
  <c r="F102" i="1"/>
  <c r="F9" i="1"/>
  <c r="J458" i="1"/>
  <c r="G432" i="1"/>
  <c r="J88" i="1"/>
  <c r="H359" i="1"/>
  <c r="G41" i="1"/>
  <c r="C37" i="10"/>
  <c r="C60" i="2"/>
  <c r="B2" i="13"/>
  <c r="F8" i="13"/>
  <c r="G8" i="13"/>
  <c r="L196" i="1"/>
  <c r="L214" i="1"/>
  <c r="L232" i="1"/>
  <c r="D39" i="13"/>
  <c r="F13" i="13"/>
  <c r="G13" i="13"/>
  <c r="L198" i="1"/>
  <c r="L216" i="1"/>
  <c r="L234" i="1"/>
  <c r="F16" i="13"/>
  <c r="G16" i="13"/>
  <c r="L201" i="1"/>
  <c r="L219" i="1"/>
  <c r="L237" i="1"/>
  <c r="F5" i="13"/>
  <c r="G5" i="13"/>
  <c r="L189" i="1"/>
  <c r="L190" i="1"/>
  <c r="L191" i="1"/>
  <c r="L192" i="1"/>
  <c r="L207" i="1"/>
  <c r="L208" i="1"/>
  <c r="L209" i="1"/>
  <c r="L210" i="1"/>
  <c r="L226" i="1"/>
  <c r="L227" i="1"/>
  <c r="L228" i="1"/>
  <c r="F6" i="13"/>
  <c r="G6" i="13"/>
  <c r="L194" i="1"/>
  <c r="L212" i="1"/>
  <c r="L230" i="1"/>
  <c r="F7" i="13"/>
  <c r="G7" i="13"/>
  <c r="L195" i="1"/>
  <c r="L213" i="1"/>
  <c r="L231" i="1"/>
  <c r="F12" i="13"/>
  <c r="G12" i="13"/>
  <c r="L197" i="1"/>
  <c r="L215" i="1"/>
  <c r="L233" i="1"/>
  <c r="C113" i="2"/>
  <c r="F14" i="13"/>
  <c r="G14" i="13"/>
  <c r="L199" i="1"/>
  <c r="L217" i="1"/>
  <c r="L235" i="1"/>
  <c r="L278" i="1"/>
  <c r="L297" i="1"/>
  <c r="L316" i="1"/>
  <c r="C20" i="10"/>
  <c r="F15" i="13"/>
  <c r="G15" i="13"/>
  <c r="L200" i="1"/>
  <c r="L218" i="1"/>
  <c r="L236" i="1"/>
  <c r="D15" i="13"/>
  <c r="C15" i="13"/>
  <c r="F17" i="13"/>
  <c r="G17" i="13"/>
  <c r="L243" i="1"/>
  <c r="D17" i="13"/>
  <c r="C17" i="13"/>
  <c r="F18" i="13"/>
  <c r="G18" i="13"/>
  <c r="L244" i="1"/>
  <c r="D18" i="13"/>
  <c r="C18" i="13"/>
  <c r="F19" i="13"/>
  <c r="G19" i="13"/>
  <c r="L245" i="1"/>
  <c r="D19" i="13"/>
  <c r="F29" i="13"/>
  <c r="G29" i="13"/>
  <c r="L350" i="1"/>
  <c r="L351" i="1"/>
  <c r="L352" i="1"/>
  <c r="L353" i="1"/>
  <c r="L354" i="1"/>
  <c r="I359" i="1"/>
  <c r="J282" i="1"/>
  <c r="J301" i="1"/>
  <c r="J320" i="1"/>
  <c r="K282" i="1"/>
  <c r="K301" i="1"/>
  <c r="K320" i="1"/>
  <c r="L268" i="1"/>
  <c r="L269" i="1"/>
  <c r="L270" i="1"/>
  <c r="L271" i="1"/>
  <c r="L273" i="1"/>
  <c r="L274" i="1"/>
  <c r="L275" i="1"/>
  <c r="L276" i="1"/>
  <c r="L277" i="1"/>
  <c r="L279" i="1"/>
  <c r="L280" i="1"/>
  <c r="L282" i="1"/>
  <c r="L287" i="1"/>
  <c r="L288" i="1"/>
  <c r="L289" i="1"/>
  <c r="L290" i="1"/>
  <c r="L292" i="1"/>
  <c r="L293" i="1"/>
  <c r="L294" i="1"/>
  <c r="L295" i="1"/>
  <c r="L296" i="1"/>
  <c r="L298" i="1"/>
  <c r="L299" i="1"/>
  <c r="L306" i="1"/>
  <c r="E101" i="2"/>
  <c r="L307" i="1"/>
  <c r="L308" i="1"/>
  <c r="E103" i="2"/>
  <c r="L309" i="1"/>
  <c r="L311" i="1"/>
  <c r="L312" i="1"/>
  <c r="C16" i="10"/>
  <c r="L313" i="1"/>
  <c r="L314" i="1"/>
  <c r="L315" i="1"/>
  <c r="L317" i="1"/>
  <c r="L318" i="1"/>
  <c r="L325" i="1"/>
  <c r="L326" i="1"/>
  <c r="L327" i="1"/>
  <c r="E106" i="2"/>
  <c r="L252" i="1"/>
  <c r="L253" i="1"/>
  <c r="L333" i="1"/>
  <c r="L334" i="1"/>
  <c r="H25" i="13"/>
  <c r="L247" i="1"/>
  <c r="L328" i="1"/>
  <c r="F22" i="13"/>
  <c r="C22" i="13"/>
  <c r="C19" i="13"/>
  <c r="C11" i="13"/>
  <c r="C10" i="13"/>
  <c r="C9" i="13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C18" i="12"/>
  <c r="C22" i="12"/>
  <c r="B1" i="12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258" i="1"/>
  <c r="J52" i="1"/>
  <c r="G48" i="2"/>
  <c r="G51" i="2"/>
  <c r="G53" i="2"/>
  <c r="G54" i="2"/>
  <c r="G55" i="2"/>
  <c r="F2" i="11"/>
  <c r="L603" i="1"/>
  <c r="H653" i="1"/>
  <c r="L601" i="1"/>
  <c r="F653" i="1"/>
  <c r="L602" i="1"/>
  <c r="G653" i="1"/>
  <c r="I653" i="1"/>
  <c r="C40" i="10"/>
  <c r="F52" i="1"/>
  <c r="G52" i="1"/>
  <c r="H52" i="1"/>
  <c r="I52" i="1"/>
  <c r="F71" i="1"/>
  <c r="F86" i="1"/>
  <c r="F103" i="1"/>
  <c r="G103" i="1"/>
  <c r="H71" i="1"/>
  <c r="H86" i="1"/>
  <c r="H103" i="1"/>
  <c r="I103" i="1"/>
  <c r="J103" i="1"/>
  <c r="J104" i="1"/>
  <c r="F113" i="1"/>
  <c r="F128" i="1"/>
  <c r="F132" i="1"/>
  <c r="G113" i="1"/>
  <c r="G128" i="1"/>
  <c r="G132" i="1"/>
  <c r="H113" i="1"/>
  <c r="H128" i="1"/>
  <c r="H132" i="1"/>
  <c r="I113" i="1"/>
  <c r="I128" i="1"/>
  <c r="I132" i="1"/>
  <c r="J113" i="1"/>
  <c r="J128" i="1"/>
  <c r="J132" i="1"/>
  <c r="F139" i="1"/>
  <c r="C77" i="2"/>
  <c r="F154" i="1"/>
  <c r="F161" i="1"/>
  <c r="G139" i="1"/>
  <c r="G154" i="1"/>
  <c r="G161" i="1"/>
  <c r="H139" i="1"/>
  <c r="H154" i="1"/>
  <c r="H161" i="1"/>
  <c r="I139" i="1"/>
  <c r="I154" i="1"/>
  <c r="I161" i="1"/>
  <c r="C11" i="10"/>
  <c r="C13" i="10"/>
  <c r="C18" i="10"/>
  <c r="L242" i="1"/>
  <c r="L324" i="1"/>
  <c r="C23" i="10"/>
  <c r="L246" i="1"/>
  <c r="C24" i="10"/>
  <c r="C25" i="10"/>
  <c r="L260" i="1"/>
  <c r="L261" i="1"/>
  <c r="L341" i="1"/>
  <c r="E134" i="2"/>
  <c r="L342" i="1"/>
  <c r="C26" i="10"/>
  <c r="I655" i="1"/>
  <c r="I660" i="1"/>
  <c r="H651" i="1"/>
  <c r="F652" i="1"/>
  <c r="H652" i="1"/>
  <c r="I659" i="1"/>
  <c r="L203" i="1"/>
  <c r="F650" i="1"/>
  <c r="L221" i="1"/>
  <c r="L301" i="1"/>
  <c r="G650" i="1"/>
  <c r="L239" i="1"/>
  <c r="L320" i="1"/>
  <c r="H650" i="1"/>
  <c r="I650" i="1"/>
  <c r="F651" i="1"/>
  <c r="G651" i="1"/>
  <c r="I651" i="1"/>
  <c r="G652" i="1"/>
  <c r="I652" i="1"/>
  <c r="I654" i="1"/>
  <c r="I662" i="1"/>
  <c r="C7" i="10"/>
  <c r="H654" i="1"/>
  <c r="H662" i="1"/>
  <c r="C6" i="10"/>
  <c r="C5" i="10"/>
  <c r="C4" i="10"/>
  <c r="C42" i="10"/>
  <c r="L366" i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/>
  <c r="L512" i="1"/>
  <c r="L513" i="1"/>
  <c r="F541" i="1"/>
  <c r="L516" i="1"/>
  <c r="G539" i="1"/>
  <c r="L517" i="1"/>
  <c r="G540" i="1"/>
  <c r="L518" i="1"/>
  <c r="G541" i="1"/>
  <c r="L521" i="1"/>
  <c r="H539" i="1"/>
  <c r="L522" i="1"/>
  <c r="L523" i="1"/>
  <c r="H541" i="1"/>
  <c r="H540" i="1"/>
  <c r="H542" i="1"/>
  <c r="L526" i="1"/>
  <c r="I539" i="1"/>
  <c r="L527" i="1"/>
  <c r="I540" i="1"/>
  <c r="L528" i="1"/>
  <c r="I541" i="1"/>
  <c r="I542" i="1"/>
  <c r="L531" i="1"/>
  <c r="J539" i="1"/>
  <c r="L532" i="1"/>
  <c r="J540" i="1"/>
  <c r="L533" i="1"/>
  <c r="J541" i="1"/>
  <c r="J542" i="1"/>
  <c r="E124" i="2"/>
  <c r="K262" i="1"/>
  <c r="J262" i="1"/>
  <c r="I262" i="1"/>
  <c r="H262" i="1"/>
  <c r="G262" i="1"/>
  <c r="F262" i="1"/>
  <c r="C124" i="2"/>
  <c r="A1" i="2"/>
  <c r="A2" i="2"/>
  <c r="C9" i="2"/>
  <c r="D9" i="2"/>
  <c r="E9" i="2"/>
  <c r="F9" i="2"/>
  <c r="I431" i="1"/>
  <c r="J9" i="1"/>
  <c r="G9" i="2"/>
  <c r="C10" i="2"/>
  <c r="D10" i="2"/>
  <c r="E10" i="2"/>
  <c r="F10" i="2"/>
  <c r="I432" i="1"/>
  <c r="J10" i="1"/>
  <c r="C11" i="2"/>
  <c r="C12" i="2"/>
  <c r="D12" i="2"/>
  <c r="E12" i="2"/>
  <c r="F12" i="2"/>
  <c r="F13" i="2"/>
  <c r="F14" i="2"/>
  <c r="F15" i="2"/>
  <c r="F16" i="2"/>
  <c r="F17" i="2"/>
  <c r="F18" i="2"/>
  <c r="F19" i="2"/>
  <c r="I433" i="1"/>
  <c r="J12" i="1"/>
  <c r="G12" i="2"/>
  <c r="C13" i="2"/>
  <c r="D13" i="2"/>
  <c r="E13" i="2"/>
  <c r="I434" i="1"/>
  <c r="J13" i="1"/>
  <c r="G13" i="2"/>
  <c r="C14" i="2"/>
  <c r="D14" i="2"/>
  <c r="E14" i="2"/>
  <c r="I435" i="1"/>
  <c r="J14" i="1"/>
  <c r="G14" i="2"/>
  <c r="C16" i="2"/>
  <c r="D16" i="2"/>
  <c r="E16" i="2"/>
  <c r="C17" i="2"/>
  <c r="D17" i="2"/>
  <c r="E17" i="2"/>
  <c r="I436" i="1"/>
  <c r="J17" i="1"/>
  <c r="G17" i="2"/>
  <c r="C18" i="2"/>
  <c r="D18" i="2"/>
  <c r="E18" i="2"/>
  <c r="I437" i="1"/>
  <c r="J18" i="1"/>
  <c r="G18" i="2"/>
  <c r="D19" i="2"/>
  <c r="C22" i="2"/>
  <c r="D22" i="2"/>
  <c r="E22" i="2"/>
  <c r="E23" i="2"/>
  <c r="E24" i="2"/>
  <c r="E25" i="2"/>
  <c r="E28" i="2"/>
  <c r="E29" i="2"/>
  <c r="E30" i="2"/>
  <c r="E31" i="2"/>
  <c r="E32" i="2"/>
  <c r="F22" i="2"/>
  <c r="I440" i="1"/>
  <c r="J23" i="1"/>
  <c r="G22" i="2"/>
  <c r="I441" i="1"/>
  <c r="J24" i="1"/>
  <c r="G23" i="2"/>
  <c r="I442" i="1"/>
  <c r="J25" i="1"/>
  <c r="G24" i="2"/>
  <c r="I443" i="1"/>
  <c r="J32" i="1"/>
  <c r="G31" i="2"/>
  <c r="G32" i="2"/>
  <c r="C23" i="2"/>
  <c r="D23" i="2"/>
  <c r="F23" i="2"/>
  <c r="C24" i="2"/>
  <c r="D24" i="2"/>
  <c r="F24" i="2"/>
  <c r="C25" i="2"/>
  <c r="D25" i="2"/>
  <c r="F25" i="2"/>
  <c r="C26" i="2"/>
  <c r="F26" i="2"/>
  <c r="C27" i="2"/>
  <c r="F27" i="2"/>
  <c r="C28" i="2"/>
  <c r="D28" i="2"/>
  <c r="F28" i="2"/>
  <c r="C29" i="2"/>
  <c r="C30" i="2"/>
  <c r="C31" i="2"/>
  <c r="C32" i="2"/>
  <c r="D29" i="2"/>
  <c r="F29" i="2"/>
  <c r="D30" i="2"/>
  <c r="F30" i="2"/>
  <c r="D31" i="2"/>
  <c r="F31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C37" i="2"/>
  <c r="D37" i="2"/>
  <c r="E37" i="2"/>
  <c r="F37" i="2"/>
  <c r="I447" i="1"/>
  <c r="J38" i="1"/>
  <c r="G37" i="2"/>
  <c r="C38" i="2"/>
  <c r="D38" i="2"/>
  <c r="E38" i="2"/>
  <c r="F38" i="2"/>
  <c r="I448" i="1"/>
  <c r="J40" i="1"/>
  <c r="G39" i="2"/>
  <c r="C40" i="2"/>
  <c r="D40" i="2"/>
  <c r="D41" i="2"/>
  <c r="D42" i="2"/>
  <c r="E40" i="2"/>
  <c r="F40" i="2"/>
  <c r="I449" i="1"/>
  <c r="J41" i="1"/>
  <c r="C41" i="2"/>
  <c r="E41" i="2"/>
  <c r="F41" i="2"/>
  <c r="F42" i="2"/>
  <c r="C48" i="2"/>
  <c r="D48" i="2"/>
  <c r="E48" i="2"/>
  <c r="F48" i="2"/>
  <c r="E49" i="2"/>
  <c r="E50" i="2"/>
  <c r="E51" i="2"/>
  <c r="E53" i="2"/>
  <c r="E54" i="2"/>
  <c r="E55" i="2"/>
  <c r="C50" i="2"/>
  <c r="C51" i="2"/>
  <c r="D51" i="2"/>
  <c r="F51" i="2"/>
  <c r="F53" i="2"/>
  <c r="F54" i="2"/>
  <c r="D52" i="2"/>
  <c r="D53" i="2"/>
  <c r="D54" i="2"/>
  <c r="D55" i="2"/>
  <c r="C53" i="2"/>
  <c r="C58" i="2"/>
  <c r="C59" i="2"/>
  <c r="C61" i="2"/>
  <c r="D61" i="2"/>
  <c r="E61" i="2"/>
  <c r="E62" i="2"/>
  <c r="F61" i="2"/>
  <c r="G61" i="2"/>
  <c r="G62" i="2"/>
  <c r="G69" i="2"/>
  <c r="G70" i="2"/>
  <c r="G73" i="2"/>
  <c r="D62" i="2"/>
  <c r="F62" i="2"/>
  <c r="C64" i="2"/>
  <c r="F64" i="2"/>
  <c r="C65" i="2"/>
  <c r="F65" i="2"/>
  <c r="C66" i="2"/>
  <c r="C67" i="2"/>
  <c r="C68" i="2"/>
  <c r="E68" i="2"/>
  <c r="F68" i="2"/>
  <c r="C69" i="2"/>
  <c r="D69" i="2"/>
  <c r="D70" i="2"/>
  <c r="D71" i="2"/>
  <c r="D73" i="2"/>
  <c r="E69" i="2"/>
  <c r="F69" i="2"/>
  <c r="C70" i="2"/>
  <c r="E70" i="2"/>
  <c r="C71" i="2"/>
  <c r="E71" i="2"/>
  <c r="C72" i="2"/>
  <c r="E72" i="2"/>
  <c r="E73" i="2"/>
  <c r="D77" i="2"/>
  <c r="E77" i="2"/>
  <c r="F77" i="2"/>
  <c r="C79" i="2"/>
  <c r="E79" i="2"/>
  <c r="F79" i="2"/>
  <c r="C80" i="2"/>
  <c r="D80" i="2"/>
  <c r="D81" i="2"/>
  <c r="D83" i="2"/>
  <c r="E80" i="2"/>
  <c r="F80" i="2"/>
  <c r="C81" i="2"/>
  <c r="E81" i="2"/>
  <c r="F81" i="2"/>
  <c r="C82" i="2"/>
  <c r="F83" i="2"/>
  <c r="C85" i="2"/>
  <c r="F85" i="2"/>
  <c r="C86" i="2"/>
  <c r="F86" i="2"/>
  <c r="D88" i="2"/>
  <c r="E88" i="2"/>
  <c r="E89" i="2"/>
  <c r="E90" i="2"/>
  <c r="E91" i="2"/>
  <c r="E92" i="2"/>
  <c r="E93" i="2"/>
  <c r="E94" i="2"/>
  <c r="E95" i="2"/>
  <c r="F88" i="2"/>
  <c r="G88" i="2"/>
  <c r="C89" i="2"/>
  <c r="D89" i="2"/>
  <c r="D90" i="2"/>
  <c r="D91" i="2"/>
  <c r="D92" i="2"/>
  <c r="D93" i="2"/>
  <c r="D94" i="2"/>
  <c r="D95" i="2"/>
  <c r="F89" i="2"/>
  <c r="G89" i="2"/>
  <c r="C90" i="2"/>
  <c r="G90" i="2"/>
  <c r="C91" i="2"/>
  <c r="F91" i="2"/>
  <c r="C92" i="2"/>
  <c r="F92" i="2"/>
  <c r="C93" i="2"/>
  <c r="F93" i="2"/>
  <c r="C94" i="2"/>
  <c r="F94" i="2"/>
  <c r="C95" i="2"/>
  <c r="G95" i="2"/>
  <c r="C102" i="2"/>
  <c r="E102" i="2"/>
  <c r="C103" i="2"/>
  <c r="C104" i="2"/>
  <c r="E104" i="2"/>
  <c r="C105" i="2"/>
  <c r="E105" i="2"/>
  <c r="C106" i="2"/>
  <c r="D107" i="2"/>
  <c r="F107" i="2"/>
  <c r="G107" i="2"/>
  <c r="E110" i="2"/>
  <c r="E111" i="2"/>
  <c r="C112" i="2"/>
  <c r="E112" i="2"/>
  <c r="E113" i="2"/>
  <c r="C114" i="2"/>
  <c r="E114" i="2"/>
  <c r="E115" i="2"/>
  <c r="E116" i="2"/>
  <c r="E117" i="2"/>
  <c r="F120" i="2"/>
  <c r="G120" i="2"/>
  <c r="C122" i="2"/>
  <c r="E122" i="2"/>
  <c r="D126" i="2"/>
  <c r="D136" i="2"/>
  <c r="E126" i="2"/>
  <c r="F126" i="2"/>
  <c r="K411" i="1"/>
  <c r="K419" i="1"/>
  <c r="K425" i="1"/>
  <c r="K426" i="1"/>
  <c r="G126" i="2"/>
  <c r="L255" i="1"/>
  <c r="C127" i="2"/>
  <c r="E127" i="2"/>
  <c r="L256" i="1"/>
  <c r="C128" i="2"/>
  <c r="L257" i="1"/>
  <c r="C129" i="2"/>
  <c r="E129" i="2"/>
  <c r="C134" i="2"/>
  <c r="C135" i="2"/>
  <c r="E135" i="2"/>
  <c r="G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F490" i="1"/>
  <c r="B153" i="2"/>
  <c r="G490" i="1"/>
  <c r="C153" i="2"/>
  <c r="H490" i="1"/>
  <c r="D153" i="2"/>
  <c r="I490" i="1"/>
  <c r="E153" i="2"/>
  <c r="J490" i="1"/>
  <c r="F153" i="2"/>
  <c r="G153" i="2"/>
  <c r="B154" i="2"/>
  <c r="C154" i="2"/>
  <c r="D154" i="2"/>
  <c r="E154" i="2"/>
  <c r="F154" i="2"/>
  <c r="B155" i="2"/>
  <c r="C155" i="2"/>
  <c r="D155" i="2"/>
  <c r="E155" i="2"/>
  <c r="F155" i="2"/>
  <c r="F493" i="1"/>
  <c r="B156" i="2"/>
  <c r="G493" i="1"/>
  <c r="C156" i="2"/>
  <c r="H493" i="1"/>
  <c r="D156" i="2"/>
  <c r="I493" i="1"/>
  <c r="E156" i="2"/>
  <c r="J493" i="1"/>
  <c r="F156" i="2"/>
  <c r="G156" i="2"/>
  <c r="F19" i="1"/>
  <c r="G19" i="1"/>
  <c r="G608" i="1"/>
  <c r="H19" i="1"/>
  <c r="I19" i="1"/>
  <c r="G610" i="1"/>
  <c r="F33" i="1"/>
  <c r="G33" i="1"/>
  <c r="H33" i="1"/>
  <c r="I33" i="1"/>
  <c r="J33" i="1"/>
  <c r="F43" i="1"/>
  <c r="G43" i="1"/>
  <c r="G44" i="1"/>
  <c r="H608" i="1"/>
  <c r="H43" i="1"/>
  <c r="I43" i="1"/>
  <c r="I44" i="1"/>
  <c r="H44" i="1"/>
  <c r="H609" i="1"/>
  <c r="F169" i="1"/>
  <c r="I169" i="1"/>
  <c r="F175" i="1"/>
  <c r="G175" i="1"/>
  <c r="G180" i="1"/>
  <c r="G184" i="1"/>
  <c r="H175" i="1"/>
  <c r="I175" i="1"/>
  <c r="J175" i="1"/>
  <c r="J184" i="1"/>
  <c r="J185" i="1"/>
  <c r="F180" i="1"/>
  <c r="H180" i="1"/>
  <c r="I180" i="1"/>
  <c r="F184" i="1"/>
  <c r="H184" i="1"/>
  <c r="F203" i="1"/>
  <c r="G203" i="1"/>
  <c r="H203" i="1"/>
  <c r="I203" i="1"/>
  <c r="J203" i="1"/>
  <c r="K203" i="1"/>
  <c r="F221" i="1"/>
  <c r="G221" i="1"/>
  <c r="H221" i="1"/>
  <c r="I221" i="1"/>
  <c r="J221" i="1"/>
  <c r="K221" i="1"/>
  <c r="F239" i="1"/>
  <c r="G239" i="1"/>
  <c r="H239" i="1"/>
  <c r="J239" i="1"/>
  <c r="K239" i="1"/>
  <c r="F248" i="1"/>
  <c r="G248" i="1"/>
  <c r="H248" i="1"/>
  <c r="I248" i="1"/>
  <c r="J248" i="1"/>
  <c r="K248" i="1"/>
  <c r="K249" i="1"/>
  <c r="K263" i="1"/>
  <c r="L262" i="1"/>
  <c r="F282" i="1"/>
  <c r="G282" i="1"/>
  <c r="H282" i="1"/>
  <c r="I282" i="1"/>
  <c r="F301" i="1"/>
  <c r="G301" i="1"/>
  <c r="H301" i="1"/>
  <c r="I301" i="1"/>
  <c r="F320" i="1"/>
  <c r="G320" i="1"/>
  <c r="G329" i="1"/>
  <c r="G330" i="1"/>
  <c r="G344" i="1"/>
  <c r="H320" i="1"/>
  <c r="I320" i="1"/>
  <c r="I329" i="1"/>
  <c r="I330" i="1"/>
  <c r="I344" i="1"/>
  <c r="F329" i="1"/>
  <c r="H329" i="1"/>
  <c r="J329" i="1"/>
  <c r="J330" i="1"/>
  <c r="J344" i="1"/>
  <c r="K329" i="1"/>
  <c r="L329" i="1"/>
  <c r="K330" i="1"/>
  <c r="K344" i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400" i="1"/>
  <c r="I400" i="1"/>
  <c r="L405" i="1"/>
  <c r="L406" i="1"/>
  <c r="L407" i="1"/>
  <c r="L408" i="1"/>
  <c r="L409" i="1"/>
  <c r="L410" i="1"/>
  <c r="F411" i="1"/>
  <c r="G411" i="1"/>
  <c r="H411" i="1"/>
  <c r="I411" i="1"/>
  <c r="J411" i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F426" i="1"/>
  <c r="G426" i="1"/>
  <c r="H426" i="1"/>
  <c r="I426" i="1"/>
  <c r="J426" i="1"/>
  <c r="L426" i="1"/>
  <c r="F438" i="1"/>
  <c r="G438" i="1"/>
  <c r="H438" i="1"/>
  <c r="I438" i="1"/>
  <c r="F444" i="1"/>
  <c r="G444" i="1"/>
  <c r="H444" i="1"/>
  <c r="I444" i="1"/>
  <c r="F450" i="1"/>
  <c r="G450" i="1"/>
  <c r="H450" i="1"/>
  <c r="I450" i="1"/>
  <c r="F451" i="1"/>
  <c r="G451" i="1"/>
  <c r="H451" i="1"/>
  <c r="I451" i="1"/>
  <c r="F460" i="1"/>
  <c r="G460" i="1"/>
  <c r="H460" i="1"/>
  <c r="I460" i="1"/>
  <c r="J460" i="1"/>
  <c r="F464" i="1"/>
  <c r="F466" i="1"/>
  <c r="H612" i="1"/>
  <c r="G612" i="1"/>
  <c r="J612" i="1"/>
  <c r="G464" i="1"/>
  <c r="H464" i="1"/>
  <c r="H466" i="1"/>
  <c r="H614" i="1"/>
  <c r="G614" i="1"/>
  <c r="J614" i="1"/>
  <c r="I464" i="1"/>
  <c r="J464" i="1"/>
  <c r="J466" i="1"/>
  <c r="H616" i="1"/>
  <c r="G466" i="1"/>
  <c r="H613" i="1"/>
  <c r="G613" i="1"/>
  <c r="J613" i="1"/>
  <c r="I466" i="1"/>
  <c r="H615" i="1"/>
  <c r="G615" i="1"/>
  <c r="J615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G514" i="1"/>
  <c r="H514" i="1"/>
  <c r="I514" i="1"/>
  <c r="J514" i="1"/>
  <c r="J524" i="1"/>
  <c r="J519" i="1"/>
  <c r="J529" i="1"/>
  <c r="J534" i="1"/>
  <c r="J535" i="1"/>
  <c r="K514" i="1"/>
  <c r="F519" i="1"/>
  <c r="G519" i="1"/>
  <c r="H519" i="1"/>
  <c r="I519" i="1"/>
  <c r="K519" i="1"/>
  <c r="L519" i="1"/>
  <c r="F524" i="1"/>
  <c r="F529" i="1"/>
  <c r="F534" i="1"/>
  <c r="F535" i="1"/>
  <c r="G524" i="1"/>
  <c r="H524" i="1"/>
  <c r="I524" i="1"/>
  <c r="K524" i="1"/>
  <c r="G529" i="1"/>
  <c r="H529" i="1"/>
  <c r="I529" i="1"/>
  <c r="K529" i="1"/>
  <c r="L529" i="1"/>
  <c r="G534" i="1"/>
  <c r="H534" i="1"/>
  <c r="I534" i="1"/>
  <c r="K534" i="1"/>
  <c r="L534" i="1"/>
  <c r="L547" i="1"/>
  <c r="L548" i="1"/>
  <c r="L549" i="1"/>
  <c r="F550" i="1"/>
  <c r="G550" i="1"/>
  <c r="H550" i="1"/>
  <c r="I550" i="1"/>
  <c r="J550" i="1"/>
  <c r="K550" i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58" i="1"/>
  <c r="L559" i="1"/>
  <c r="F560" i="1"/>
  <c r="G560" i="1"/>
  <c r="H560" i="1"/>
  <c r="I560" i="1"/>
  <c r="J560" i="1"/>
  <c r="K560" i="1"/>
  <c r="L560" i="1"/>
  <c r="G561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J588" i="1"/>
  <c r="H641" i="1"/>
  <c r="G641" i="1"/>
  <c r="J641" i="1"/>
  <c r="K592" i="1"/>
  <c r="K593" i="1"/>
  <c r="K594" i="1"/>
  <c r="K595" i="1"/>
  <c r="G638" i="1"/>
  <c r="J249" i="1"/>
  <c r="H638" i="1"/>
  <c r="J638" i="1"/>
  <c r="H595" i="1"/>
  <c r="I595" i="1"/>
  <c r="J595" i="1"/>
  <c r="F604" i="1"/>
  <c r="G604" i="1"/>
  <c r="H604" i="1"/>
  <c r="I604" i="1"/>
  <c r="J604" i="1"/>
  <c r="K604" i="1"/>
  <c r="G607" i="1"/>
  <c r="G609" i="1"/>
  <c r="H610" i="1"/>
  <c r="H617" i="1"/>
  <c r="H618" i="1"/>
  <c r="H619" i="1"/>
  <c r="H620" i="1"/>
  <c r="H621" i="1"/>
  <c r="H622" i="1"/>
  <c r="H623" i="1"/>
  <c r="G624" i="1"/>
  <c r="H625" i="1"/>
  <c r="H626" i="1"/>
  <c r="H627" i="1"/>
  <c r="G628" i="1"/>
  <c r="H628" i="1"/>
  <c r="J628" i="1"/>
  <c r="G629" i="1"/>
  <c r="H629" i="1"/>
  <c r="J629" i="1"/>
  <c r="G630" i="1"/>
  <c r="H630" i="1"/>
  <c r="J630" i="1"/>
  <c r="G631" i="1"/>
  <c r="H631" i="1"/>
  <c r="J631" i="1"/>
  <c r="G632" i="1"/>
  <c r="H632" i="1"/>
  <c r="J632" i="1"/>
  <c r="G633" i="1"/>
  <c r="H633" i="1"/>
  <c r="J633" i="1"/>
  <c r="G634" i="1"/>
  <c r="H634" i="1"/>
  <c r="J634" i="1"/>
  <c r="G635" i="1"/>
  <c r="H635" i="1"/>
  <c r="J635" i="1"/>
  <c r="H637" i="1"/>
  <c r="G639" i="1"/>
  <c r="H639" i="1"/>
  <c r="J639" i="1"/>
  <c r="G640" i="1"/>
  <c r="H640" i="1"/>
  <c r="J640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K588" i="1"/>
  <c r="G637" i="1"/>
  <c r="J637" i="1"/>
  <c r="L561" i="1"/>
  <c r="J561" i="1"/>
  <c r="H561" i="1"/>
  <c r="F561" i="1"/>
  <c r="I184" i="1"/>
  <c r="J610" i="1"/>
  <c r="G155" i="2"/>
  <c r="F70" i="2"/>
  <c r="F73" i="2"/>
  <c r="F55" i="2"/>
  <c r="E42" i="2"/>
  <c r="E43" i="2"/>
  <c r="C42" i="2"/>
  <c r="F32" i="2"/>
  <c r="D32" i="2"/>
  <c r="L524" i="1"/>
  <c r="G542" i="1"/>
  <c r="F540" i="1"/>
  <c r="L514" i="1"/>
  <c r="H104" i="1"/>
  <c r="F104" i="1"/>
  <c r="C49" i="2"/>
  <c r="C54" i="2"/>
  <c r="C55" i="2"/>
  <c r="L604" i="1"/>
  <c r="K535" i="1"/>
  <c r="I535" i="1"/>
  <c r="G535" i="1"/>
  <c r="H330" i="1"/>
  <c r="H344" i="1"/>
  <c r="F330" i="1"/>
  <c r="F344" i="1"/>
  <c r="H249" i="1"/>
  <c r="H263" i="1"/>
  <c r="F249" i="1"/>
  <c r="F263" i="1"/>
  <c r="G154" i="2"/>
  <c r="G137" i="2"/>
  <c r="F95" i="2"/>
  <c r="E83" i="2"/>
  <c r="E96" i="2"/>
  <c r="C62" i="2"/>
  <c r="C73" i="2"/>
  <c r="F43" i="2"/>
  <c r="G36" i="2"/>
  <c r="E19" i="2"/>
  <c r="C19" i="2"/>
  <c r="F122" i="2"/>
  <c r="F136" i="2"/>
  <c r="F137" i="2"/>
  <c r="L374" i="1"/>
  <c r="G626" i="1"/>
  <c r="J626" i="1"/>
  <c r="C83" i="2"/>
  <c r="L343" i="1"/>
  <c r="L399" i="1"/>
  <c r="C132" i="2"/>
  <c r="L385" i="1"/>
  <c r="A31" i="12"/>
  <c r="C32" i="10"/>
  <c r="G31" i="13"/>
  <c r="D29" i="13"/>
  <c r="C29" i="13"/>
  <c r="C21" i="10"/>
  <c r="C15" i="10"/>
  <c r="G33" i="13"/>
  <c r="C12" i="10"/>
  <c r="E16" i="13"/>
  <c r="C16" i="13"/>
  <c r="C17" i="10"/>
  <c r="D119" i="2"/>
  <c r="D120" i="2"/>
  <c r="D137" i="2"/>
  <c r="C117" i="2"/>
  <c r="C116" i="2"/>
  <c r="C115" i="2"/>
  <c r="C111" i="2"/>
  <c r="C110" i="2"/>
  <c r="C123" i="2"/>
  <c r="E123" i="2"/>
  <c r="E136" i="2"/>
  <c r="I104" i="1"/>
  <c r="I185" i="1"/>
  <c r="G620" i="1"/>
  <c r="J620" i="1"/>
  <c r="C35" i="10"/>
  <c r="G104" i="1"/>
  <c r="L393" i="1"/>
  <c r="C131" i="2"/>
  <c r="C29" i="10"/>
  <c r="F31" i="13"/>
  <c r="F33" i="13"/>
  <c r="E13" i="13"/>
  <c r="C19" i="10"/>
  <c r="K540" i="1"/>
  <c r="C13" i="13"/>
  <c r="C36" i="10"/>
  <c r="G654" i="1"/>
  <c r="G662" i="1"/>
  <c r="C130" i="2"/>
  <c r="C133" i="2"/>
  <c r="C136" i="2"/>
  <c r="L400" i="1"/>
  <c r="J263" i="1"/>
  <c r="L535" i="1"/>
  <c r="F96" i="2"/>
  <c r="F654" i="1"/>
  <c r="F657" i="1"/>
  <c r="G627" i="1"/>
  <c r="J627" i="1"/>
  <c r="H636" i="1"/>
  <c r="G657" i="1"/>
  <c r="L248" i="1"/>
  <c r="H535" i="1"/>
  <c r="K539" i="1"/>
  <c r="H33" i="13"/>
  <c r="C25" i="13"/>
  <c r="E8" i="13"/>
  <c r="E33" i="13"/>
  <c r="D35" i="13"/>
  <c r="D6" i="13"/>
  <c r="C6" i="13"/>
  <c r="D7" i="13"/>
  <c r="C7" i="13"/>
  <c r="D14" i="13"/>
  <c r="C14" i="13"/>
  <c r="D12" i="13"/>
  <c r="C12" i="13"/>
  <c r="C96" i="2"/>
  <c r="F44" i="1"/>
  <c r="H607" i="1"/>
  <c r="J607" i="1"/>
  <c r="J43" i="1"/>
  <c r="G40" i="2"/>
  <c r="G42" i="2"/>
  <c r="G43" i="2"/>
  <c r="G10" i="2"/>
  <c r="G19" i="2"/>
  <c r="J19" i="1"/>
  <c r="G611" i="1"/>
  <c r="G621" i="1"/>
  <c r="J621" i="1"/>
  <c r="G636" i="1"/>
  <c r="J636" i="1"/>
  <c r="G96" i="2"/>
  <c r="F662" i="1"/>
  <c r="I361" i="1"/>
  <c r="H624" i="1"/>
  <c r="J624" i="1"/>
  <c r="D96" i="2"/>
  <c r="G185" i="1"/>
  <c r="G618" i="1"/>
  <c r="J618" i="1"/>
  <c r="D43" i="2"/>
  <c r="J608" i="1"/>
  <c r="G616" i="1"/>
  <c r="J44" i="1"/>
  <c r="H611" i="1"/>
  <c r="J611" i="1"/>
  <c r="J616" i="1"/>
  <c r="A40" i="12"/>
  <c r="C8" i="13"/>
  <c r="G249" i="1"/>
  <c r="G263" i="1"/>
  <c r="A22" i="12"/>
  <c r="A13" i="12"/>
  <c r="E120" i="2"/>
  <c r="E107" i="2"/>
  <c r="E137" i="2"/>
  <c r="C39" i="10"/>
  <c r="H185" i="1"/>
  <c r="G619" i="1"/>
  <c r="J619" i="1"/>
  <c r="J609" i="1"/>
  <c r="C43" i="2"/>
  <c r="G625" i="1"/>
  <c r="C27" i="10"/>
  <c r="D31" i="13"/>
  <c r="L330" i="1"/>
  <c r="L344" i="1"/>
  <c r="G623" i="1"/>
  <c r="J623" i="1"/>
  <c r="J625" i="1"/>
  <c r="C31" i="13"/>
  <c r="C101" i="2"/>
  <c r="C107" i="2"/>
  <c r="C10" i="10"/>
  <c r="C28" i="10"/>
  <c r="D5" i="13"/>
  <c r="I239" i="1"/>
  <c r="I249" i="1"/>
  <c r="I263" i="1"/>
  <c r="F185" i="1"/>
  <c r="G617" i="1"/>
  <c r="J617" i="1"/>
  <c r="C38" i="10"/>
  <c r="F542" i="1"/>
  <c r="K541" i="1"/>
  <c r="K542" i="1"/>
  <c r="C120" i="2"/>
  <c r="C137" i="2"/>
  <c r="D27" i="10"/>
  <c r="D20" i="10"/>
  <c r="D11" i="10"/>
  <c r="D26" i="10"/>
  <c r="D21" i="10"/>
  <c r="D15" i="10"/>
  <c r="D17" i="10"/>
  <c r="D23" i="10"/>
  <c r="C30" i="10"/>
  <c r="D13" i="10"/>
  <c r="D16" i="10"/>
  <c r="D12" i="10"/>
  <c r="D10" i="10"/>
  <c r="D19" i="10"/>
  <c r="D18" i="10"/>
  <c r="D24" i="10"/>
  <c r="D25" i="10"/>
  <c r="C5" i="13"/>
  <c r="D33" i="13"/>
  <c r="D36" i="13"/>
  <c r="L249" i="1"/>
  <c r="L263" i="1"/>
  <c r="G622" i="1"/>
  <c r="J622" i="1"/>
  <c r="H646" i="1"/>
  <c r="C41" i="10"/>
  <c r="D22" i="10"/>
  <c r="D28" i="10"/>
  <c r="D40" i="10"/>
  <c r="D36" i="10"/>
  <c r="D39" i="10"/>
  <c r="D35" i="10"/>
  <c r="D37" i="10"/>
  <c r="D38" i="10"/>
  <c r="H657" i="1"/>
  <c r="I657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A07B904-7548-45BE-A567-B15AB1D3B1C7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DFF70BC-304A-4559-A843-B9FBBC5D4552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78DC1CE-4296-4511-B898-4CE771E56CD5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EC598A8-2F06-4C54-93F3-AA8D1EA15044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9A14BDDD-65EF-42F8-9250-F7CC622F8109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03A660D-EAB3-4500-A663-1D5F6071B762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54E764EB-C649-45BF-9EF9-726DBE083F55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B8DFA0A0-AD44-462D-9228-C4F767CA6813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90D3D212-CF54-4933-BE00-1B211EF1EFF0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A51FA92B-CDD5-4B1C-BF5D-55F8551FCC88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FE7D7D04-881A-4403-BD03-8484CAAB8788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D062361-3E92-42DB-8EC7-ABDD0E5F33C6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<sst xmlns="http://schemas.openxmlformats.org/spreadsheetml/2006/main" count="3864" uniqueCount="901">
  <si>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</si>
  <si>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</si>
  <si>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</si>
  <si>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</si>
  <si>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</si>
  <si>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</si>
  <si>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</si>
  <si>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</si>
  <si>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</si>
  <si>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</si>
  <si>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</si>
  <si>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</si>
  <si>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</si>
  <si>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</si>
  <si>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</si>
  <si>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</si>
  <si>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</si>
  <si>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</si>
  <si>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</si>
  <si>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</si>
  <si>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</si>
  <si>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</si>
  <si>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</si>
  <si>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</si>
  <si>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</si>
  <si>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</si>
  <si>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</si>
  <si>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</si>
  <si>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</si>
  <si>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</si>
  <si>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</si>
  <si>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</si>
  <si>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</si>
  <si>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</si>
  <si>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</si>
  <si>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</si>
  <si>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</si>
  <si>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</si>
  <si>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</si>
  <si>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</si>
  <si>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</si>
  <si>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</si>
  <si>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</si>
  <si>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</si>
  <si>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</si>
  <si>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</si>
  <si>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</si>
  <si>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</si>
  <si>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</si>
  <si>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</si>
  <si>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</si>
  <si>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</si>
  <si>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</si>
  <si>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</si>
  <si>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</si>
  <si>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</si>
  <si>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</si>
  <si>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</si>
  <si>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</si>
  <si>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</si>
  <si>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</si>
  <si>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</si>
  <si>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</si>
  <si>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</si>
  <si>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</si>
  <si>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</si>
  <si>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</si>
  <si>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</si>
  <si>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</si>
  <si>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</si>
  <si>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</si>
  <si>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</si>
  <si>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</si>
  <si>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</si>
  <si>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</si>
  <si>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</si>
  <si>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</si>
  <si>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</si>
  <si>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</si>
  <si>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</si>
  <si>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</si>
  <si>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</si>
  <si>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</si>
  <si>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</si>
  <si>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</si>
  <si>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</si>
  <si>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</si>
  <si>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</si>
  <si>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</si>
  <si>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</si>
  <si>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</si>
  <si>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</si>
  <si>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</si>
  <si>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</si>
  <si>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</si>
  <si>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</si>
  <si>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</si>
  <si>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</si>
  <si>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</si>
  <si>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</si>
  <si>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</si>
  <si>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</si>
  <si>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</si>
  <si>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</si>
  <si>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</si>
  <si>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</si>
  <si>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</si>
  <si>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</si>
  <si>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</si>
  <si>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</si>
  <si>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</si>
  <si>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</si>
  <si>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</si>
  <si>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</si>
  <si>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</si>
  <si>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</si>
  <si>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</si>
  <si>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</si>
  <si>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</si>
  <si>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</si>
  <si>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</si>
  <si>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</si>
  <si>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</si>
  <si>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</si>
  <si>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</si>
  <si>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</si>
  <si>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</si>
  <si>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</si>
  <si>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</si>
  <si>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</si>
  <si>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</si>
  <si>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</si>
  <si>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</si>
  <si>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</si>
  <si>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</si>
  <si>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</si>
  <si>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</si>
  <si>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</si>
  <si>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</si>
  <si>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</si>
  <si>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</si>
  <si>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</si>
  <si>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</si>
  <si>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</si>
  <si>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</si>
  <si>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</si>
  <si>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</si>
  <si>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</si>
  <si>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</si>
  <si>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</si>
  <si>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</si>
  <si>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</si>
  <si>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</si>
  <si>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</si>
  <si>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</si>
  <si>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</si>
  <si>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</si>
  <si>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</si>
  <si>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</si>
  <si>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</si>
  <si>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</si>
  <si>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</si>
  <si>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</si>
  <si>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</si>
  <si>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</si>
  <si>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</si>
  <si>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</si>
  <si>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</si>
  <si>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</si>
  <si>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</si>
  <si>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</si>
  <si>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</si>
  <si>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</si>
  <si>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</si>
  <si>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</si>
  <si>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</si>
  <si>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</si>
  <si>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</si>
  <si>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</si>
  <si>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</si>
  <si>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</si>
  <si>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</si>
  <si>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</si>
  <si>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</si>
  <si>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</si>
  <si>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</si>
  <si>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</si>
  <si>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</si>
  <si>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</si>
  <si>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</si>
  <si>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</si>
  <si>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</si>
  <si>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</si>
  <si>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</si>
  <si>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</si>
  <si>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</si>
  <si>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</si>
  <si>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</si>
  <si>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</si>
  <si>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</si>
  <si>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</si>
  <si>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</si>
  <si>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</si>
  <si>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</si>
  <si>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</si>
  <si>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</si>
  <si>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</si>
  <si>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</si>
  <si>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</si>
  <si>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</si>
  <si>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</si>
  <si>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</si>
  <si>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</si>
  <si>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</si>
  <si>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</si>
  <si>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</si>
  <si>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</si>
  <si>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</si>
  <si>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</si>
  <si>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</si>
  <si>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</si>
  <si>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</si>
  <si>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</si>
  <si>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</si>
  <si>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</si>
  <si>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</si>
  <si>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</si>
  <si>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</si>
  <si>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</si>
  <si>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</si>
  <si>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</si>
  <si>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</si>
  <si>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</si>
  <si>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</si>
  <si>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</si>
  <si>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</si>
  <si>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</si>
  <si>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</si>
  <si>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</si>
  <si>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</si>
  <si>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</si>
  <si>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</si>
  <si>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</si>
  <si>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</si>
  <si>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</si>
  <si>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</si>
  <si>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</si>
  <si>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</si>
  <si>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</si>
  <si>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</si>
  <si>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</si>
  <si>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</si>
  <si>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</si>
  <si>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</si>
  <si>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</si>
  <si>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</si>
  <si>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</si>
  <si>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</si>
  <si>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</si>
  <si>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</si>
  <si>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</si>
  <si>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</si>
  <si>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</si>
  <si>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</si>
  <si>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</si>
  <si>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</si>
  <si>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</si>
  <si>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</si>
  <si>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</si>
  <si>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</si>
  <si>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</si>
  <si>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</si>
  <si>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</si>
  <si>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</si>
  <si>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</si>
  <si>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</si>
  <si>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</si>
  <si>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</si>
  <si>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</si>
  <si>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</si>
  <si>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</si>
  <si>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</si>
  <si>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</si>
  <si>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</si>
  <si>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</si>
  <si>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</si>
  <si>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</si>
  <si>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</si>
  <si>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</si>
  <si>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</si>
  <si>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</si>
  <si>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</si>
  <si>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</si>
  <si>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</si>
  <si>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</si>
  <si>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</si>
  <si>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</si>
  <si>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</si>
  <si>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</si>
  <si>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</si>
  <si>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</si>
  <si>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</si>
  <si>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</si>
  <si>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</si>
  <si>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</si>
  <si>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</si>
  <si>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</si>
  <si>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</si>
  <si>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</si>
  <si>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</si>
  <si>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</si>
  <si>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</si>
  <si>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</si>
  <si>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</si>
  <si>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</si>
  <si>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</si>
  <si>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</si>
  <si>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</si>
  <si>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</si>
  <si>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</si>
  <si>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</si>
  <si>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</si>
  <si>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</si>
  <si>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</si>
  <si>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</si>
  <si>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</si>
  <si>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</si>
  <si>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</si>
  <si>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</si>
  <si>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</si>
  <si>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</si>
  <si>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</si>
  <si>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</si>
  <si>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</si>
  <si>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</si>
  <si>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</si>
  <si>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</si>
  <si>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</si>
  <si>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</si>
  <si>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</si>
  <si>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</si>
  <si>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</si>
  <si>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</si>
  <si>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</si>
  <si>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</si>
  <si>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</si>
  <si>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</si>
  <si>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</si>
  <si>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</si>
  <si>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</si>
  <si>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</si>
  <si>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</si>
  <si>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</si>
  <si>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</si>
  <si>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</si>
  <si>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</si>
  <si>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</si>
  <si>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</si>
  <si>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</si>
  <si>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</si>
  <si>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</si>
  <si>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</si>
  <si>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</si>
  <si>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</si>
  <si>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</si>
  <si>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</si>
  <si>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</si>
  <si>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</si>
  <si>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</si>
  <si>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</si>
  <si>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</si>
  <si>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</si>
  <si>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</si>
  <si>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</si>
  <si>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</si>
  <si>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</si>
  <si>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</si>
  <si>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</si>
  <si>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</si>
  <si>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</si>
  <si>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</si>
  <si>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</si>
  <si>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</si>
  <si>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</si>
  <si>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</si>
  <si>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</si>
  <si>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</si>
  <si>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</si>
  <si>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</si>
  <si>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</si>
  <si>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</si>
  <si>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</si>
  <si>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</si>
  <si>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</si>
  <si>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</si>
  <si>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</si>
  <si>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</si>
  <si>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</si>
  <si>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</si>
  <si>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</si>
  <si>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</si>
  <si>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</si>
  <si>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</si>
  <si>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</si>
  <si>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</si>
  <si>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</si>
  <si>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</si>
  <si>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</si>
  <si>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</si>
  <si>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</si>
  <si>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</si>
  <si>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</si>
  <si>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</si>
  <si>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</si>
  <si>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</si>
  <si>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</si>
  <si>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</si>
  <si>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</si>
  <si>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</si>
  <si>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</si>
  <si>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</si>
  <si>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</si>
  <si>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</si>
  <si>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</si>
  <si>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</si>
  <si>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</si>
  <si>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</si>
  <si>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</si>
  <si>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</si>
  <si>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</si>
  <si>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</si>
  <si>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</si>
  <si>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</si>
  <si>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</si>
  <si>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</si>
  <si>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</si>
  <si>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</si>
  <si>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</si>
  <si>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</si>
  <si>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</si>
  <si>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</si>
  <si>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</si>
  <si>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</si>
  <si>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</si>
  <si>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</si>
  <si>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</si>
  <si>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</si>
  <si>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</si>
  <si>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</si>
  <si>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</si>
  <si>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</si>
  <si>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</si>
  <si>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</si>
  <si>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</si>
  <si>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</si>
  <si>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</si>
  <si>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</si>
  <si>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</si>
  <si>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</si>
  <si>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</si>
  <si>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</si>
  <si>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</si>
  <si>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</si>
  <si>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</si>
  <si>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</si>
  <si>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</si>
  <si>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</si>
  <si>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</si>
  <si>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</si>
  <si>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</si>
  <si>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</si>
  <si>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</si>
  <si>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</si>
  <si>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</si>
  <si>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</si>
  <si>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</si>
  <si>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</si>
  <si>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</si>
  <si>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</si>
  <si>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</si>
  <si>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</si>
  <si>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</si>
  <si>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</si>
  <si>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</si>
  <si>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</si>
  <si>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</si>
  <si>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</si>
  <si>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</si>
  <si>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</si>
  <si>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</si>
  <si>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</si>
  <si>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</si>
  <si>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</si>
  <si>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</si>
  <si>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</si>
  <si>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</si>
  <si>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</si>
  <si>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</si>
  <si>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</si>
  <si>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</si>
  <si>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</si>
  <si>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</si>
  <si>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</si>
  <si>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</si>
  <si>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</si>
  <si>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</si>
  <si>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</si>
  <si>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</si>
  <si>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</si>
  <si>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</si>
  <si>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</si>
  <si>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</si>
  <si>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</si>
  <si>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</si>
  <si>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</si>
  <si>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</si>
  <si>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</si>
  <si>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</si>
  <si>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</si>
  <si>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</si>
  <si>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</si>
  <si>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</si>
  <si>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</si>
  <si>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</si>
  <si>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</si>
  <si>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</si>
  <si>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</si>
  <si>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</si>
  <si>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</si>
  <si>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</si>
  <si>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</si>
  <si>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</si>
  <si>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</si>
  <si>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</si>
  <si>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</si>
  <si>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</si>
  <si>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</si>
  <si>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</si>
  <si>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</si>
  <si>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</si>
  <si>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</si>
  <si>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</si>
  <si>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</si>
  <si>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</si>
  <si>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</si>
  <si>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</si>
  <si>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</si>
  <si>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</si>
  <si>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</si>
  <si>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</si>
  <si>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</si>
  <si>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</si>
  <si>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</si>
  <si>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</si>
  <si>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</si>
  <si>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</si>
  <si>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</si>
  <si>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</si>
  <si>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</si>
  <si>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</si>
  <si>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</si>
  <si>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</si>
  <si>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</si>
  <si>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</si>
  <si>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</si>
  <si>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</si>
  <si>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</si>
  <si>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</si>
  <si>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</si>
  <si>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</si>
  <si>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</si>
  <si>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</si>
  <si>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</si>
  <si>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</si>
  <si>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</si>
  <si>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</si>
  <si>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</si>
  <si>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</si>
  <si>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</si>
  <si>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</si>
  <si>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</si>
  <si>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</si>
  <si>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</si>
  <si>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</si>
  <si>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</si>
  <si>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</si>
  <si>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</si>
  <si>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</si>
  <si>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</si>
  <si>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</si>
  <si>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</si>
  <si>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</si>
  <si>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</si>
  <si>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</si>
  <si>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</si>
  <si>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</si>
  <si>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</si>
  <si>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</si>
  <si>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</si>
  <si>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</si>
  <si>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</si>
  <si>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</si>
  <si>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</si>
  <si>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</si>
  <si>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</si>
  <si>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</si>
  <si>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</si>
  <si>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</si>
  <si>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</si>
  <si>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</si>
  <si>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</si>
  <si>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</si>
  <si>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</si>
  <si>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</si>
  <si>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</si>
  <si>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</si>
  <si>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</si>
  <si>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</si>
  <si>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</si>
  <si>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</si>
  <si>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</si>
  <si>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</si>
  <si>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</si>
  <si>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</si>
  <si>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</si>
  <si>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</si>
  <si>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</si>
  <si>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</si>
  <si>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</si>
  <si>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</si>
  <si>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</si>
  <si>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</si>
  <si>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</si>
  <si>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</si>
  <si>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</si>
  <si>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</si>
  <si>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</si>
  <si>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</si>
  <si>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</si>
  <si>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</si>
  <si>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</si>
  <si>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</si>
  <si>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</si>
  <si>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</si>
  <si>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</si>
  <si>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</si>
  <si>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</si>
  <si>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</si>
  <si>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</si>
  <si>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</si>
  <si>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</si>
  <si>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</si>
  <si>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</si>
  <si>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</si>
  <si>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</si>
  <si>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</si>
  <si>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</si>
  <si>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</si>
  <si>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</si>
  <si>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</si>
  <si>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</si>
  <si>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</si>
  <si>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</si>
  <si>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</si>
  <si>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</si>
  <si>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</si>
  <si>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</si>
  <si>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</si>
  <si>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</si>
  <si>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</si>
  <si>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</si>
  <si>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</si>
  <si>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</si>
  <si>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</si>
  <si>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</si>
  <si>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</si>
  <si>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</si>
  <si>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</si>
  <si>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</si>
  <si>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</si>
  <si>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</si>
  <si>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</si>
  <si>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</si>
  <si>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</si>
  <si>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</si>
  <si>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</si>
  <si>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</si>
  <si>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</si>
  <si>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</si>
  <si>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</si>
  <si>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</si>
  <si>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</si>
  <si>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</si>
  <si>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</si>
  <si>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</si>
  <si>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</si>
  <si>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</si>
  <si>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</si>
  <si>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</si>
  <si>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</si>
  <si>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</si>
  <si>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</si>
  <si>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</si>
  <si>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</si>
  <si>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</si>
  <si>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</si>
  <si>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</si>
  <si>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</si>
  <si>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</si>
  <si>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</si>
  <si>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</si>
  <si>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</si>
  <si>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</si>
  <si>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</si>
  <si>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</si>
  <si>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</si>
  <si>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</si>
  <si>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</si>
  <si>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</si>
  <si>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</si>
  <si>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</si>
  <si>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</si>
  <si>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</si>
  <si>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</si>
  <si>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</si>
  <si>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</si>
  <si>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</si>
  <si>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</si>
  <si>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</si>
  <si>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</si>
  <si>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</si>
  <si>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</si>
  <si>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</si>
  <si>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</si>
  <si>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</si>
  <si>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</si>
  <si>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</si>
  <si>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</si>
  <si>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</si>
  <si>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</si>
  <si>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</si>
  <si>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</si>
  <si>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</si>
  <si>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</si>
  <si>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</si>
  <si>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</si>
  <si>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</si>
  <si>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</si>
  <si>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</si>
  <si>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</si>
  <si>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</si>
  <si>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</si>
  <si>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</si>
  <si>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</si>
  <si>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</si>
  <si>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</si>
  <si>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</si>
  <si>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</si>
  <si>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</si>
  <si>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</si>
  <si>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</si>
  <si>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</si>
  <si>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</si>
  <si>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</si>
  <si>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</si>
  <si>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</si>
  <si>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</si>
  <si>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</si>
  <si>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</si>
  <si>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</si>
  <si>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</si>
  <si>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</si>
  <si>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</si>
  <si>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</si>
  <si>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</si>
  <si>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</si>
  <si>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</si>
  <si>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</si>
  <si>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</si>
  <si>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</si>
  <si>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</si>
  <si>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</si>
  <si>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</si>
  <si>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</si>
  <si>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</si>
  <si>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</si>
  <si>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</si>
  <si>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</si>
  <si>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</si>
  <si>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</si>
  <si>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</si>
  <si>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</si>
  <si>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</si>
  <si>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</si>
  <si>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</si>
  <si>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</si>
  <si>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</si>
  <si>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</si>
  <si>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</si>
  <si>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</si>
  <si>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</si>
  <si>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</si>
  <si>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</si>
  <si>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</si>
  <si>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</si>
  <si>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</si>
  <si>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</si>
  <si>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</si>
  <si>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</si>
  <si>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</si>
  <si>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</si>
  <si>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</si>
  <si>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</si>
  <si>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</si>
  <si>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</si>
  <si>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</si>
  <si>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</si>
  <si>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</si>
  <si>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</si>
  <si>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</si>
  <si>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</si>
  <si>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</si>
  <si>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</si>
  <si>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</si>
  <si>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</si>
  <si>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</si>
  <si>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</si>
  <si>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</si>
  <si>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</si>
  <si>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</si>
  <si>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</si>
  <si>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</si>
  <si>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</si>
  <si>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</si>
  <si>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</si>
  <si>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</si>
  <si>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</si>
  <si>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</si>
  <si>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</si>
  <si>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</si>
  <si>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</si>
  <si>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</si>
  <si>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</si>
  <si>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</si>
  <si>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</si>
  <si>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</si>
  <si>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</si>
  <si>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</si>
  <si>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</si>
  <si>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</si>
  <si>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</si>
  <si>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</si>
  <si>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</si>
  <si>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</si>
  <si>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</si>
  <si>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</si>
  <si>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</si>
  <si>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</si>
  <si>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</si>
  <si>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</si>
  <si>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</si>
  <si>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</si>
  <si>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</si>
  <si>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</si>
  <si>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</si>
  <si>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</si>
  <si>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</si>
  <si>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</si>
  <si>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</si>
  <si>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</si>
  <si>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</si>
  <si>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</si>
  <si>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</si>
  <si>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</si>
  <si>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</si>
  <si>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</si>
  <si>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</si>
  <si>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</si>
  <si>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</si>
  <si>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</si>
  <si>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</si>
  <si>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</si>
  <si>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</si>
  <si>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</si>
  <si>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</si>
  <si>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</si>
  <si>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</si>
  <si>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</si>
  <si>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</si>
  <si>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</si>
  <si>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</si>
  <si>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</si>
  <si>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</si>
  <si>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</si>
  <si>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WINNACUNNET</t>
  </si>
  <si>
    <t>August 2004</t>
  </si>
  <si>
    <t>August 2024</t>
  </si>
  <si>
    <t>Remaining interest reflects bond financing of $247,097 beginning August 2011</t>
  </si>
  <si>
    <t>ADJUSTMENT FOR PRIOR YEAR VOC TRANS RECEIVABLES</t>
  </si>
  <si>
    <t xml:space="preserve">   Winnacunnet SD - paid HF this amount in June 2011</t>
  </si>
  <si>
    <t xml:space="preserve">Reduces Cat Aid paid to Winnacunnet School District which should have been paid to Hampton Falls  $17,589.52 - see attached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</si>
</sst>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Border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A069-6F97-44CF-AF50-B16F4921EB6D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57" sqref="H65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581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1165057.09+200</f>
        <v>1165257.0900000001</v>
      </c>
      <c r="G9" s="18">
        <v>200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33979.89</v>
      </c>
      <c r="G10" s="18"/>
      <c r="H10" s="18"/>
      <c r="I10" s="18"/>
      <c r="J10" s="67">
        <f>SUM(I432)</f>
        <v>211343.9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124356.2</v>
      </c>
      <c r="G12" s="18">
        <v>266070.94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39107.46+450</f>
        <v>39557.46</v>
      </c>
      <c r="G13" s="18">
        <v>25466.28</v>
      </c>
      <c r="H13" s="18">
        <v>7292.91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4624</v>
      </c>
      <c r="G14" s="18">
        <v>592.71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1367774.64</v>
      </c>
      <c r="G19" s="41">
        <f>SUM(G9:G18)</f>
        <v>292329.93</v>
      </c>
      <c r="H19" s="41">
        <f>SUM(H9:H18)</f>
        <v>7292.91</v>
      </c>
      <c r="I19" s="41">
        <f>SUM(I9:I18)</f>
        <v>0</v>
      </c>
      <c r="J19" s="41">
        <f>SUM(J9:J18)</f>
        <v>211343.9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266070.94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277642.06</v>
      </c>
      <c r="G25" s="18">
        <v>245.62</v>
      </c>
      <c r="H25" s="18">
        <v>7292.91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17431.080000000002</v>
      </c>
      <c r="G29" s="18">
        <v>802.65</v>
      </c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71992.42</f>
        <v>71992.42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7486.78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633136.5</v>
      </c>
      <c r="G33" s="41">
        <f>SUM(G23:G32)</f>
        <v>8535.0499999999993</v>
      </c>
      <c r="H33" s="41">
        <f>SUM(H23:H32)</f>
        <v>7292.91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62631.12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100000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f>5881.94+5484.96</f>
        <v>11366.9</v>
      </c>
      <c r="G41" s="18">
        <f>284597.53-802.65</f>
        <v>283794.88</v>
      </c>
      <c r="H41" s="18"/>
      <c r="I41" s="18"/>
      <c r="J41" s="13">
        <f>SUM(I449)</f>
        <v>211343.9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566125.08-5484.96</f>
        <v>560640.12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734638.14</v>
      </c>
      <c r="G43" s="41">
        <f>SUM(G35:G42)</f>
        <v>283794.88</v>
      </c>
      <c r="H43" s="41">
        <f>SUM(H35:H42)</f>
        <v>0</v>
      </c>
      <c r="I43" s="41">
        <f>SUM(I35:I42)</f>
        <v>0</v>
      </c>
      <c r="J43" s="41">
        <f>SUM(J35:J42)</f>
        <v>211343.9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1367774.6400000001</v>
      </c>
      <c r="G44" s="41">
        <f>G43+G33</f>
        <v>292329.93</v>
      </c>
      <c r="H44" s="41">
        <f>H43+H33</f>
        <v>7292.91</v>
      </c>
      <c r="I44" s="41">
        <f>I43+I33</f>
        <v>0</v>
      </c>
      <c r="J44" s="41">
        <f>J43+J33</f>
        <v>211343.9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14812484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14812484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2779.57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4420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17815.32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25014.89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14294.7</v>
      </c>
      <c r="G88" s="18"/>
      <c r="H88" s="18"/>
      <c r="I88" s="18"/>
      <c r="J88" s="18">
        <f>6069.43+4121.12</f>
        <v>10190.549999999999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472631.96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14979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4400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3124.08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56603.81+21797</f>
        <v>78400.81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115198.59</v>
      </c>
      <c r="G103" s="41">
        <f>SUM(G88:G102)</f>
        <v>472631.96</v>
      </c>
      <c r="H103" s="41">
        <f>SUM(H88:H102)</f>
        <v>0</v>
      </c>
      <c r="I103" s="41">
        <f>SUM(I88:I102)</f>
        <v>0</v>
      </c>
      <c r="J103" s="41">
        <f>SUM(J88:J102)</f>
        <v>10190.549999999999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14952697.48</v>
      </c>
      <c r="G104" s="41">
        <f>G52+G103</f>
        <v>472631.96</v>
      </c>
      <c r="H104" s="41">
        <f>H52+H71+H86+H103</f>
        <v>0</v>
      </c>
      <c r="I104" s="41">
        <f>I52+I103</f>
        <v>0</v>
      </c>
      <c r="J104" s="41">
        <f>J52+J103</f>
        <v>10190.549999999999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405514.12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4492907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14707.88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4913129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513519.18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177764.33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12622.98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5040.18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703906.49</v>
      </c>
      <c r="G128" s="41">
        <f>SUM(G115:G127)</f>
        <v>5040.18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5617035.4900000002</v>
      </c>
      <c r="G132" s="41">
        <f>G113+SUM(G128:G129)</f>
        <v>5040.18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161371.67+14116.33+40791.82</f>
        <v>216279.82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256.44+684.73+60976.9+49717.34+18708.16</f>
        <v>130343.57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126283.02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241+229137.85+176531.28</f>
        <v>405910.13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171374.07999999999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22564.560000000001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171374.07999999999</v>
      </c>
      <c r="G154" s="41">
        <f>SUM(G142:G153)</f>
        <v>148847.58000000002</v>
      </c>
      <c r="H154" s="41">
        <f>SUM(H142:H153)</f>
        <v>752533.52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171374.07999999999</v>
      </c>
      <c r="G161" s="41">
        <f>G139+G154+SUM(G155:G160)</f>
        <v>148847.58000000002</v>
      </c>
      <c r="H161" s="41">
        <f>H139+H154+SUM(H155:H160)</f>
        <v>752533.52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20741107.049999997</v>
      </c>
      <c r="G185" s="47">
        <f>G104+G132+G161+G184</f>
        <v>626519.72</v>
      </c>
      <c r="H185" s="47">
        <f>H104+H132+H161+H184</f>
        <v>752533.52</v>
      </c>
      <c r="I185" s="47">
        <f>I104+I132+I161+I184</f>
        <v>0</v>
      </c>
      <c r="J185" s="47">
        <f>J104+J132+J184</f>
        <v>110190.55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5812504.1600000001</v>
      </c>
      <c r="G225" s="18">
        <v>2210603.1</v>
      </c>
      <c r="H225" s="18">
        <v>4736.63</v>
      </c>
      <c r="I225" s="18">
        <f>142529.3-272.1</f>
        <v>142257.19999999998</v>
      </c>
      <c r="J225" s="18">
        <f>59290.9+2998.66</f>
        <v>62289.56</v>
      </c>
      <c r="K225" s="18"/>
      <c r="L225" s="19">
        <f>SUM(F225:K225)</f>
        <v>8232390.6499999994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1489478.6</v>
      </c>
      <c r="G226" s="18">
        <v>581359.81999999995</v>
      </c>
      <c r="H226" s="18">
        <v>658849</v>
      </c>
      <c r="I226" s="18">
        <v>4248.71</v>
      </c>
      <c r="J226" s="18">
        <v>1008.42</v>
      </c>
      <c r="K226" s="18">
        <v>780</v>
      </c>
      <c r="L226" s="19">
        <f>SUM(F226:K226)</f>
        <v>2735724.55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181207.5</v>
      </c>
      <c r="I227" s="18"/>
      <c r="J227" s="18"/>
      <c r="K227" s="18"/>
      <c r="L227" s="19">
        <f>SUM(F227:K227)</f>
        <v>181207.5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436075.69+25450.99</f>
        <v>461526.68</v>
      </c>
      <c r="G228" s="18">
        <f>126150.84+1947</f>
        <v>128097.84</v>
      </c>
      <c r="H228" s="18">
        <v>119228.19</v>
      </c>
      <c r="I228" s="18">
        <f>52306.54+3577.04</f>
        <v>55883.58</v>
      </c>
      <c r="J228" s="18">
        <v>38049.629999999997</v>
      </c>
      <c r="K228" s="18">
        <f>22061.84+2874.6</f>
        <v>24936.44</v>
      </c>
      <c r="L228" s="19">
        <f>SUM(F228:K228)</f>
        <v>827722.35999999987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631040+109252.44</f>
        <v>740292.44</v>
      </c>
      <c r="G230" s="18">
        <v>310915.82</v>
      </c>
      <c r="H230" s="18">
        <f>50530.04+1725</f>
        <v>52255.040000000001</v>
      </c>
      <c r="I230" s="18">
        <f>1765.11+3085.42</f>
        <v>4850.53</v>
      </c>
      <c r="J230" s="18"/>
      <c r="K230" s="18">
        <v>465</v>
      </c>
      <c r="L230" s="19">
        <f t="shared" ref="L230:L236" si="4">SUM(F230:K230)</f>
        <v>1108778.83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16126.5+113798.32+175188.08+63879.26</f>
        <v>368992.16000000003</v>
      </c>
      <c r="G231" s="18">
        <f>40484.5+143838.22</f>
        <v>184322.72</v>
      </c>
      <c r="H231" s="18">
        <f>20424.48+2587.58+96725.59+29093.6</f>
        <v>148831.25</v>
      </c>
      <c r="I231" s="18">
        <f>877.76+23534.32+114735.08</f>
        <v>139147.16</v>
      </c>
      <c r="J231" s="18">
        <f>5852.8+49987.17</f>
        <v>55839.97</v>
      </c>
      <c r="K231" s="18"/>
      <c r="L231" s="19">
        <f t="shared" si="4"/>
        <v>897133.26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31883.45</v>
      </c>
      <c r="G232" s="18">
        <v>2439.08</v>
      </c>
      <c r="H232" s="18">
        <f>31516.45+485403</f>
        <v>516919.45</v>
      </c>
      <c r="I232" s="18"/>
      <c r="J232" s="18"/>
      <c r="K232" s="18">
        <v>7798.44</v>
      </c>
      <c r="L232" s="19">
        <f t="shared" si="4"/>
        <v>559040.41999999993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700664.42</v>
      </c>
      <c r="G233" s="18">
        <f>234895.6+37321.36</f>
        <v>272216.96000000002</v>
      </c>
      <c r="H233" s="18">
        <v>109411.87</v>
      </c>
      <c r="I233" s="18">
        <v>20187.650000000001</v>
      </c>
      <c r="J233" s="18"/>
      <c r="K233" s="18">
        <v>19195.11</v>
      </c>
      <c r="L233" s="19">
        <f t="shared" si="4"/>
        <v>1121676.01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644055.99+1383.29</f>
        <v>645439.28</v>
      </c>
      <c r="G235" s="18">
        <v>277608.81</v>
      </c>
      <c r="H235" s="18">
        <f>228910.13+135252.07+12707.37</f>
        <v>376869.57</v>
      </c>
      <c r="I235" s="18">
        <v>485826.83</v>
      </c>
      <c r="J235" s="18">
        <f>33637.78+9298.03</f>
        <v>42935.81</v>
      </c>
      <c r="K235" s="18">
        <v>640</v>
      </c>
      <c r="L235" s="19">
        <f t="shared" si="4"/>
        <v>1829320.3000000003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404317.34+191769.95+69320.34+67496.95</f>
        <v>732904.58</v>
      </c>
      <c r="I236" s="18"/>
      <c r="J236" s="18"/>
      <c r="K236" s="18"/>
      <c r="L236" s="19">
        <f t="shared" si="4"/>
        <v>732904.58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>
        <v>1232</v>
      </c>
      <c r="L237" s="19">
        <f>SUM(F237:K237)</f>
        <v>1232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10250781.189999998</v>
      </c>
      <c r="G239" s="41">
        <f t="shared" si="5"/>
        <v>3967564.15</v>
      </c>
      <c r="H239" s="41">
        <f t="shared" si="5"/>
        <v>2901213.08</v>
      </c>
      <c r="I239" s="41">
        <f t="shared" si="5"/>
        <v>852401.66</v>
      </c>
      <c r="J239" s="41">
        <f t="shared" si="5"/>
        <v>200123.38999999998</v>
      </c>
      <c r="K239" s="41">
        <f t="shared" si="5"/>
        <v>55046.99</v>
      </c>
      <c r="L239" s="41">
        <f t="shared" si="5"/>
        <v>18227130.459999997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98371.46</v>
      </c>
      <c r="G243" s="18">
        <v>7940.57</v>
      </c>
      <c r="H243" s="18"/>
      <c r="I243" s="18">
        <v>2416.1799999999998</v>
      </c>
      <c r="J243" s="18"/>
      <c r="K243" s="18"/>
      <c r="L243" s="19">
        <f t="shared" si="6"/>
        <v>108728.20999999999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508592.08</v>
      </c>
      <c r="K247" s="18"/>
      <c r="L247" s="19">
        <f t="shared" si="6"/>
        <v>508592.08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98371.46</v>
      </c>
      <c r="G248" s="41">
        <f t="shared" si="7"/>
        <v>7940.57</v>
      </c>
      <c r="H248" s="41">
        <f t="shared" si="7"/>
        <v>0</v>
      </c>
      <c r="I248" s="41">
        <f t="shared" si="7"/>
        <v>2416.1799999999998</v>
      </c>
      <c r="J248" s="41">
        <f t="shared" si="7"/>
        <v>508592.08</v>
      </c>
      <c r="K248" s="41">
        <f t="shared" si="7"/>
        <v>0</v>
      </c>
      <c r="L248" s="41">
        <f>SUM(F248:K248)</f>
        <v>617320.29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10349152.649999999</v>
      </c>
      <c r="G249" s="41">
        <f t="shared" si="8"/>
        <v>3975504.7199999997</v>
      </c>
      <c r="H249" s="41">
        <f t="shared" si="8"/>
        <v>2901213.08</v>
      </c>
      <c r="I249" s="41">
        <f t="shared" si="8"/>
        <v>854817.84000000008</v>
      </c>
      <c r="J249" s="41">
        <f t="shared" si="8"/>
        <v>708715.47</v>
      </c>
      <c r="K249" s="41">
        <f t="shared" si="8"/>
        <v>55046.99</v>
      </c>
      <c r="L249" s="41">
        <f t="shared" si="8"/>
        <v>18844450.749999996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975000</v>
      </c>
      <c r="L252" s="19">
        <f>SUM(F252:K252)</f>
        <v>975000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1030287.5</v>
      </c>
      <c r="L253" s="19">
        <f>SUM(F253:K253)</f>
        <v>1030287.5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2105287.5</v>
      </c>
      <c r="L262" s="41">
        <f t="shared" si="9"/>
        <v>2105287.5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10349152.649999999</v>
      </c>
      <c r="G263" s="42">
        <f t="shared" si="11"/>
        <v>3975504.7199999997</v>
      </c>
      <c r="H263" s="42">
        <f t="shared" si="11"/>
        <v>2901213.08</v>
      </c>
      <c r="I263" s="42">
        <f t="shared" si="11"/>
        <v>854817.84000000008</v>
      </c>
      <c r="J263" s="42">
        <f t="shared" si="11"/>
        <v>708715.47</v>
      </c>
      <c r="K263" s="42">
        <f t="shared" si="11"/>
        <v>2160334.4900000002</v>
      </c>
      <c r="L263" s="42">
        <f t="shared" si="11"/>
        <v>20949738.249999996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229374.87</v>
      </c>
      <c r="G306" s="18">
        <f>34354.83-236.51-626.07</f>
        <v>33492.25</v>
      </c>
      <c r="H306" s="18">
        <v>20431.5</v>
      </c>
      <c r="I306" s="18">
        <f>39753.32+71.74</f>
        <v>39825.06</v>
      </c>
      <c r="J306" s="18">
        <f>19250.95-499</f>
        <v>18751.95</v>
      </c>
      <c r="K306" s="18"/>
      <c r="L306" s="19">
        <f>SUM(F306:K306)</f>
        <v>341875.63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230618.37</v>
      </c>
      <c r="G307" s="18">
        <f>54948.52-323.82-703.69</f>
        <v>53921.009999999995</v>
      </c>
      <c r="H307" s="18">
        <f>56417.46-2194+2832+510</f>
        <v>57565.46</v>
      </c>
      <c r="I307" s="18">
        <f>32710.48-46.86+1321.37</f>
        <v>33984.99</v>
      </c>
      <c r="J307" s="18">
        <v>28182.02</v>
      </c>
      <c r="K307" s="18">
        <v>1638.28</v>
      </c>
      <c r="L307" s="19">
        <f>SUM(F307:K307)</f>
        <v>405910.13000000006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>
        <v>606.30999999999995</v>
      </c>
      <c r="J311" s="18"/>
      <c r="K311" s="18">
        <v>25.96</v>
      </c>
      <c r="L311" s="19">
        <f t="shared" ref="L311:L317" si="16">SUM(F311:K311)</f>
        <v>632.27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613</v>
      </c>
      <c r="I312" s="18"/>
      <c r="J312" s="18"/>
      <c r="K312" s="18"/>
      <c r="L312" s="19">
        <f t="shared" si="16"/>
        <v>613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>
        <f>10077.11-2826.5-4182-64-891-1169+1019.28+1117.79+420.61+0.2</f>
        <v>3502.4900000000002</v>
      </c>
      <c r="L313" s="19">
        <f t="shared" si="16"/>
        <v>3502.4900000000002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459993.24</v>
      </c>
      <c r="G320" s="42">
        <f t="shared" si="17"/>
        <v>87413.26</v>
      </c>
      <c r="H320" s="42">
        <f t="shared" si="17"/>
        <v>78609.959999999992</v>
      </c>
      <c r="I320" s="42">
        <f t="shared" si="17"/>
        <v>74416.359999999986</v>
      </c>
      <c r="J320" s="42">
        <f t="shared" si="17"/>
        <v>46933.97</v>
      </c>
      <c r="K320" s="42">
        <f t="shared" si="17"/>
        <v>5166.7300000000005</v>
      </c>
      <c r="L320" s="41">
        <f t="shared" si="17"/>
        <v>752533.52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459993.24</v>
      </c>
      <c r="G330" s="41">
        <f t="shared" si="20"/>
        <v>87413.26</v>
      </c>
      <c r="H330" s="41">
        <f t="shared" si="20"/>
        <v>78609.959999999992</v>
      </c>
      <c r="I330" s="41">
        <f t="shared" si="20"/>
        <v>74416.359999999986</v>
      </c>
      <c r="J330" s="41">
        <f t="shared" si="20"/>
        <v>46933.97</v>
      </c>
      <c r="K330" s="41">
        <f t="shared" si="20"/>
        <v>5166.7300000000005</v>
      </c>
      <c r="L330" s="41">
        <f t="shared" si="20"/>
        <v>752533.52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459993.24</v>
      </c>
      <c r="G344" s="41">
        <f>G330</f>
        <v>87413.26</v>
      </c>
      <c r="H344" s="41">
        <f>H330</f>
        <v>78609.959999999992</v>
      </c>
      <c r="I344" s="41">
        <f>I330</f>
        <v>74416.359999999986</v>
      </c>
      <c r="J344" s="41">
        <f>J330</f>
        <v>46933.97</v>
      </c>
      <c r="K344" s="47">
        <f>K330+K343</f>
        <v>5166.7300000000005</v>
      </c>
      <c r="L344" s="41">
        <f>L330+L343</f>
        <v>752533.52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235141.92</v>
      </c>
      <c r="G352" s="18"/>
      <c r="H352" s="18">
        <v>6861.88</v>
      </c>
      <c r="I352" s="18">
        <v>364288.83</v>
      </c>
      <c r="J352" s="18">
        <v>39298.620000000003</v>
      </c>
      <c r="K352" s="18">
        <v>1752.26</v>
      </c>
      <c r="L352" s="19">
        <f>SUM(F352:K352)</f>
        <v>647343.51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235141.92</v>
      </c>
      <c r="G354" s="47">
        <f t="shared" si="22"/>
        <v>0</v>
      </c>
      <c r="H354" s="47">
        <f t="shared" si="22"/>
        <v>6861.88</v>
      </c>
      <c r="I354" s="47">
        <f t="shared" si="22"/>
        <v>364288.83</v>
      </c>
      <c r="J354" s="47">
        <f t="shared" si="22"/>
        <v>39298.620000000003</v>
      </c>
      <c r="K354" s="47">
        <f t="shared" si="22"/>
        <v>1752.26</v>
      </c>
      <c r="L354" s="47">
        <f t="shared" si="22"/>
        <v>647343.51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>
        <f>325448.73+22564.56</f>
        <v>348013.29</v>
      </c>
      <c r="I359" s="56">
        <f>SUM(F359:H359)</f>
        <v>348013.29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>
        <v>16275.54</v>
      </c>
      <c r="I360" s="56">
        <f>SUM(F360:H360)</f>
        <v>16275.54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364288.82999999996</v>
      </c>
      <c r="I361" s="47">
        <f>SUM(I359:I360)</f>
        <v>364288.82999999996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50000</v>
      </c>
      <c r="H381" s="18">
        <v>4121.12</v>
      </c>
      <c r="I381" s="18"/>
      <c r="J381" s="24" t="s">
        <v>312</v>
      </c>
      <c r="K381" s="24" t="s">
        <v>312</v>
      </c>
      <c r="L381" s="56">
        <f t="shared" si="25"/>
        <v>54121.120000000003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50000</v>
      </c>
      <c r="H385" s="139">
        <f>SUM(H379:H384)</f>
        <v>4121.12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54121.120000000003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v>6069.43</v>
      </c>
      <c r="I389" s="18"/>
      <c r="J389" s="24" t="s">
        <v>312</v>
      </c>
      <c r="K389" s="24" t="s">
        <v>312</v>
      </c>
      <c r="L389" s="56">
        <f t="shared" si="26"/>
        <v>56069.43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6069.43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56069.43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10190.549999999999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110190.55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f>130866.81+80477.09</f>
        <v>211343.9</v>
      </c>
      <c r="H432" s="18"/>
      <c r="I432" s="56">
        <f t="shared" si="33"/>
        <v>211343.9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211343.9</v>
      </c>
      <c r="H438" s="13">
        <f>SUM(H431:H437)</f>
        <v>0</v>
      </c>
      <c r="I438" s="13">
        <f>SUM(I431:I437)</f>
        <v>211343.9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211343.9</v>
      </c>
      <c r="H449" s="18"/>
      <c r="I449" s="56">
        <f>SUM(F449:H449)</f>
        <v>211343.9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211343.9</v>
      </c>
      <c r="H450" s="83">
        <f>SUM(H446:H449)</f>
        <v>0</v>
      </c>
      <c r="I450" s="83">
        <f>SUM(I446:I449)</f>
        <v>211343.9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211343.9</v>
      </c>
      <c r="H451" s="42">
        <f>H444+H450</f>
        <v>0</v>
      </c>
      <c r="I451" s="42">
        <f>I444+I450</f>
        <v>211343.9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943269.34</v>
      </c>
      <c r="G455" s="18">
        <v>304618.67</v>
      </c>
      <c r="H455" s="18">
        <v>0</v>
      </c>
      <c r="I455" s="18">
        <v>0</v>
      </c>
      <c r="J455" s="18">
        <v>101153.35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20741107.050000001</v>
      </c>
      <c r="G458" s="18">
        <v>626519.72</v>
      </c>
      <c r="H458" s="18">
        <v>752533.52</v>
      </c>
      <c r="I458" s="18"/>
      <c r="J458" s="18">
        <f>100000+6069.43+4121.12</f>
        <v>110190.54999999999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20741107.050000001</v>
      </c>
      <c r="G460" s="53">
        <f>SUM(G458:G459)</f>
        <v>626519.72</v>
      </c>
      <c r="H460" s="53">
        <f>SUM(H458:H459)</f>
        <v>752533.52</v>
      </c>
      <c r="I460" s="53">
        <f>SUM(I458:I459)</f>
        <v>0</v>
      </c>
      <c r="J460" s="53">
        <f>SUM(J458:J459)</f>
        <v>110190.54999999999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20949738.25</v>
      </c>
      <c r="G462" s="18">
        <v>647343.51</v>
      </c>
      <c r="H462" s="18">
        <v>752533.52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20949738.25</v>
      </c>
      <c r="G464" s="53">
        <f>SUM(G462:G463)</f>
        <v>647343.51</v>
      </c>
      <c r="H464" s="53">
        <f>SUM(H462:H463)</f>
        <v>752533.52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734638.1400000006</v>
      </c>
      <c r="G466" s="53">
        <f>(G455+G460)- G464</f>
        <v>283794.87999999989</v>
      </c>
      <c r="H466" s="53">
        <f>(H455+H460)- H464</f>
        <v>0</v>
      </c>
      <c r="I466" s="53">
        <f>(I455+I460)- I464</f>
        <v>0</v>
      </c>
      <c r="J466" s="53">
        <f>(J455+J460)- J464</f>
        <v>211343.9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898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25484800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21250000</v>
      </c>
      <c r="G485" s="18"/>
      <c r="H485" s="18"/>
      <c r="I485" s="18"/>
      <c r="J485" s="18"/>
      <c r="K485" s="53">
        <f>SUM(F485:J485)</f>
        <v>21250000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975000+1030287.5</f>
        <v>2005287.5</v>
      </c>
      <c r="G487" s="18"/>
      <c r="H487" s="18"/>
      <c r="I487" s="18"/>
      <c r="J487" s="18"/>
      <c r="K487" s="53">
        <f t="shared" si="34"/>
        <v>2005287.5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20275000</v>
      </c>
      <c r="G488" s="205"/>
      <c r="H488" s="205"/>
      <c r="I488" s="205"/>
      <c r="J488" s="205"/>
      <c r="K488" s="206">
        <f t="shared" si="34"/>
        <v>20275000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7586646.75</v>
      </c>
      <c r="G489" s="18"/>
      <c r="H489" s="18"/>
      <c r="I489" s="18"/>
      <c r="J489" s="18"/>
      <c r="K489" s="53">
        <f t="shared" si="34"/>
        <v>7586646.75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27861646.75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27861646.75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1030000</v>
      </c>
      <c r="G491" s="205"/>
      <c r="H491" s="205"/>
      <c r="I491" s="205"/>
      <c r="J491" s="205"/>
      <c r="K491" s="206">
        <f t="shared" si="34"/>
        <v>1030000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502956.25-24240+477206.25</f>
        <v>955922.5</v>
      </c>
      <c r="G492" s="18"/>
      <c r="H492" s="18"/>
      <c r="I492" s="18"/>
      <c r="J492" s="18"/>
      <c r="K492" s="53">
        <f t="shared" si="34"/>
        <v>955922.5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1985922.5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1985922.5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1497080.4</v>
      </c>
      <c r="G513" s="18">
        <v>571880.25</v>
      </c>
      <c r="H513" s="18">
        <v>651357.28</v>
      </c>
      <c r="I513" s="18">
        <v>38233.699999999997</v>
      </c>
      <c r="J513" s="18">
        <v>29190.44</v>
      </c>
      <c r="K513" s="18">
        <v>1638.28</v>
      </c>
      <c r="L513" s="88">
        <f>SUM(F513:K513)</f>
        <v>2789380.3499999996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1497080.4</v>
      </c>
      <c r="G514" s="108">
        <f t="shared" ref="G514:L514" si="35">SUM(G511:G513)</f>
        <v>571880.25</v>
      </c>
      <c r="H514" s="108">
        <f t="shared" si="35"/>
        <v>651357.28</v>
      </c>
      <c r="I514" s="108">
        <f t="shared" si="35"/>
        <v>38233.699999999997</v>
      </c>
      <c r="J514" s="108">
        <f t="shared" si="35"/>
        <v>29190.44</v>
      </c>
      <c r="K514" s="108">
        <f t="shared" si="35"/>
        <v>1638.28</v>
      </c>
      <c r="L514" s="89">
        <f t="shared" si="35"/>
        <v>2789380.3499999996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73860.98</v>
      </c>
      <c r="G518" s="18">
        <v>6807.82</v>
      </c>
      <c r="H518" s="18">
        <v>48178</v>
      </c>
      <c r="I518" s="18"/>
      <c r="J518" s="18"/>
      <c r="K518" s="18"/>
      <c r="L518" s="88">
        <f>SUM(F518:K518)</f>
        <v>128846.79999999999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73860.98</v>
      </c>
      <c r="G519" s="89">
        <f t="shared" ref="G519:L519" si="36">SUM(G516:G518)</f>
        <v>6807.82</v>
      </c>
      <c r="H519" s="89">
        <f t="shared" si="36"/>
        <v>48178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128846.79999999999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149155.59</v>
      </c>
      <c r="G523" s="18">
        <v>56592.76</v>
      </c>
      <c r="H523" s="18"/>
      <c r="I523" s="18"/>
      <c r="J523" s="18"/>
      <c r="K523" s="18">
        <v>849.76</v>
      </c>
      <c r="L523" s="88">
        <f>SUM(F523:K523)</f>
        <v>206598.11000000002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149155.59</v>
      </c>
      <c r="G524" s="89">
        <f t="shared" ref="G524:L524" si="37">SUM(G521:G523)</f>
        <v>56592.76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849.76</v>
      </c>
      <c r="L524" s="89">
        <f t="shared" si="37"/>
        <v>206598.11000000002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16879.18</v>
      </c>
      <c r="I528" s="18"/>
      <c r="J528" s="18"/>
      <c r="K528" s="18">
        <v>780</v>
      </c>
      <c r="L528" s="88">
        <f>SUM(F528:K528)</f>
        <v>17659.18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16879.18</v>
      </c>
      <c r="I529" s="89">
        <f t="shared" si="38"/>
        <v>0</v>
      </c>
      <c r="J529" s="89">
        <f t="shared" si="38"/>
        <v>0</v>
      </c>
      <c r="K529" s="89">
        <f t="shared" si="38"/>
        <v>780</v>
      </c>
      <c r="L529" s="89">
        <f t="shared" si="38"/>
        <v>17659.18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191769.95</v>
      </c>
      <c r="I533" s="18"/>
      <c r="J533" s="18"/>
      <c r="K533" s="18"/>
      <c r="L533" s="88">
        <f>SUM(F533:K533)</f>
        <v>191769.95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191769.95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191769.95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1720096.97</v>
      </c>
      <c r="G535" s="89">
        <f t="shared" ref="G535:L535" si="40">G514+G519+G524+G529+G534</f>
        <v>635280.82999999996</v>
      </c>
      <c r="H535" s="89">
        <f t="shared" si="40"/>
        <v>908184.41000000015</v>
      </c>
      <c r="I535" s="89">
        <f t="shared" si="40"/>
        <v>38233.699999999997</v>
      </c>
      <c r="J535" s="89">
        <f t="shared" si="40"/>
        <v>29190.44</v>
      </c>
      <c r="K535" s="89">
        <f t="shared" si="40"/>
        <v>3268.04</v>
      </c>
      <c r="L535" s="89">
        <f t="shared" si="40"/>
        <v>3334254.3899999997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2789380.3499999996</v>
      </c>
      <c r="G541" s="87">
        <f>L518</f>
        <v>128846.79999999999</v>
      </c>
      <c r="H541" s="87">
        <f>L523</f>
        <v>206598.11000000002</v>
      </c>
      <c r="I541" s="87">
        <f>L528</f>
        <v>17659.18</v>
      </c>
      <c r="J541" s="87">
        <f>L533</f>
        <v>191769.95</v>
      </c>
      <c r="K541" s="87">
        <f>SUM(F541:J541)</f>
        <v>3334254.3899999997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2789380.3499999996</v>
      </c>
      <c r="G542" s="89">
        <f t="shared" si="41"/>
        <v>128846.79999999999</v>
      </c>
      <c r="H542" s="89">
        <f t="shared" si="41"/>
        <v>206598.11000000002</v>
      </c>
      <c r="I542" s="89">
        <f t="shared" si="41"/>
        <v>17659.18</v>
      </c>
      <c r="J542" s="89">
        <f t="shared" si="41"/>
        <v>191769.95</v>
      </c>
      <c r="K542" s="89">
        <f t="shared" si="41"/>
        <v>3334254.3899999997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112048.1</v>
      </c>
      <c r="I569" s="87">
        <f t="shared" si="46"/>
        <v>112048.1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275102.13</v>
      </c>
      <c r="I572" s="87">
        <f t="shared" si="46"/>
        <v>275102.13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181360.16</v>
      </c>
      <c r="I573" s="87">
        <f t="shared" si="46"/>
        <v>181360.16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181207.5</v>
      </c>
      <c r="I574" s="87">
        <f t="shared" si="46"/>
        <v>181207.5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>
        <v>363885.61</v>
      </c>
      <c r="K581" s="104">
        <f t="shared" ref="K581:K587" si="47">SUM(H581:J581)</f>
        <v>363885.61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191769.95</v>
      </c>
      <c r="K582" s="104">
        <f t="shared" si="47"/>
        <v>191769.95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40431.730000000003</v>
      </c>
      <c r="K583" s="104">
        <f t="shared" si="47"/>
        <v>40431.730000000003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v>69320.34</v>
      </c>
      <c r="K584" s="104">
        <f t="shared" si="47"/>
        <v>69320.34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>
        <v>67496.95</v>
      </c>
      <c r="K587" s="104">
        <f t="shared" si="47"/>
        <v>67496.95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0</v>
      </c>
      <c r="J588" s="108">
        <f>SUM(J581:J587)</f>
        <v>732904.58</v>
      </c>
      <c r="K588" s="108">
        <f>SUM(K581:K587)</f>
        <v>732904.58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>
        <v>2299.96</v>
      </c>
      <c r="K593" s="104">
        <f>SUM(H593:J593)</f>
        <v>2299.96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>
        <f>59290.9+1008.42+38049.63+5852.8+49987.17+17513.82+13824+9298.03+2998.66+46933.97</f>
        <v>244757.4</v>
      </c>
      <c r="K594" s="104">
        <f>SUM(H594:J594)</f>
        <v>244757.4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247057.36</v>
      </c>
      <c r="K595" s="108">
        <f>SUM(K592:K594)</f>
        <v>247057.36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25450.99</v>
      </c>
      <c r="G603" s="18"/>
      <c r="H603" s="18"/>
      <c r="I603" s="18">
        <v>3577.04</v>
      </c>
      <c r="J603" s="18"/>
      <c r="K603" s="18"/>
      <c r="L603" s="88">
        <f>SUM(F603:K603)</f>
        <v>29028.030000000002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25450.99</v>
      </c>
      <c r="G604" s="108">
        <f t="shared" si="48"/>
        <v>0</v>
      </c>
      <c r="H604" s="108">
        <f t="shared" si="48"/>
        <v>0</v>
      </c>
      <c r="I604" s="108">
        <f t="shared" si="48"/>
        <v>3577.04</v>
      </c>
      <c r="J604" s="108">
        <f t="shared" si="48"/>
        <v>0</v>
      </c>
      <c r="K604" s="108">
        <f t="shared" si="48"/>
        <v>0</v>
      </c>
      <c r="L604" s="89">
        <f t="shared" si="48"/>
        <v>29028.030000000002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1367774.64</v>
      </c>
      <c r="H607" s="109">
        <f>SUM(F44)</f>
        <v>1367774.6400000001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292329.93</v>
      </c>
      <c r="H608" s="109">
        <f>SUM(G44)</f>
        <v>292329.93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7292.91</v>
      </c>
      <c r="H609" s="109">
        <f>SUM(H44)</f>
        <v>7292.91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211343.9</v>
      </c>
      <c r="H611" s="109">
        <f>SUM(J44)</f>
        <v>211343.9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734638.14</v>
      </c>
      <c r="H612" s="109">
        <f>F466</f>
        <v>734638.1400000006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283794.88</v>
      </c>
      <c r="H613" s="109">
        <f>G466</f>
        <v>283794.87999999989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211343.9</v>
      </c>
      <c r="H616" s="109">
        <f>J466</f>
        <v>211343.9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20741107.049999997</v>
      </c>
      <c r="H617" s="104">
        <f>SUM(F458)</f>
        <v>20741107.050000001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626519.72</v>
      </c>
      <c r="H618" s="104">
        <f>SUM(G458)</f>
        <v>626519.72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752533.52</v>
      </c>
      <c r="H619" s="104">
        <f>SUM(H458)</f>
        <v>752533.52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110190.55</v>
      </c>
      <c r="H621" s="104">
        <f>SUM(J458)</f>
        <v>110190.54999999999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20949738.249999996</v>
      </c>
      <c r="H622" s="104">
        <f>SUM(F462)</f>
        <v>20949738.25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752533.52</v>
      </c>
      <c r="H623" s="104">
        <f>SUM(H462)</f>
        <v>752533.52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364288.83</v>
      </c>
      <c r="H624" s="104">
        <f>I361</f>
        <v>364288.82999999996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647343.51</v>
      </c>
      <c r="H625" s="104">
        <f>SUM(G462)</f>
        <v>647343.51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110190.55</v>
      </c>
      <c r="H627" s="164">
        <f>SUM(J458)</f>
        <v>110190.54999999999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211343.9</v>
      </c>
      <c r="H630" s="104">
        <f>SUM(G451)</f>
        <v>211343.9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211343.9</v>
      </c>
      <c r="H632" s="104">
        <f>SUM(I451)</f>
        <v>211343.9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10190.549999999999</v>
      </c>
      <c r="H634" s="104">
        <f>H400</f>
        <v>10190.549999999999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110190.55</v>
      </c>
      <c r="H636" s="104">
        <f>L400</f>
        <v>110190.55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732904.58</v>
      </c>
      <c r="H637" s="104">
        <f>L200+L218+L236</f>
        <v>732904.58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247057.36</v>
      </c>
      <c r="H638" s="104">
        <f>(J249+J330)-(J247+J328)</f>
        <v>247057.35999999993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732904.58</v>
      </c>
      <c r="H641" s="104">
        <f>J588</f>
        <v>732904.58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0</v>
      </c>
      <c r="H650" s="19">
        <f>(L239+L320+L352)</f>
        <v>19627007.489999998</v>
      </c>
      <c r="I650" s="19">
        <f>SUM(F650:H650)</f>
        <v>19627007.489999998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472631.96</v>
      </c>
      <c r="I651" s="19">
        <f>SUM(F651:H651)</f>
        <v>472631.96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0</v>
      </c>
      <c r="H652" s="19">
        <f>(L236+L317)-(J236+J317)</f>
        <v>732904.58</v>
      </c>
      <c r="I652" s="19">
        <f>SUM(F652:H652)</f>
        <v>732904.58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0</v>
      </c>
      <c r="H653" s="200">
        <f>SUM(H565:H577)+SUM(J592:J594)+L603</f>
        <v>1025803.28</v>
      </c>
      <c r="I653" s="19">
        <f>SUM(F653:H653)</f>
        <v>1025803.28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0</v>
      </c>
      <c r="H654" s="19">
        <f>H650-SUM(H651:H653)</f>
        <v>17395667.669999998</v>
      </c>
      <c r="I654" s="19">
        <f>I650-SUM(I651:I653)</f>
        <v>17395667.669999998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>
        <v>1232.1199999999999</v>
      </c>
      <c r="I655" s="19">
        <f>SUM(F655:H655)</f>
        <v>1232.1199999999999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>
        <f>ROUND(H654/H655,2)</f>
        <v>14118.48</v>
      </c>
      <c r="I657" s="19">
        <f>ROUND(I654/I655,2)</f>
        <v>14118.48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-35</v>
      </c>
      <c r="I660" s="19">
        <f>SUM(F660:H660)</f>
        <v>-35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>
        <f>ROUND((H654+H659)/(H655+H660),2)</f>
        <v>14531.26</v>
      </c>
      <c r="I662" s="19">
        <f>ROUND((I654+I659)/(I655+I660),2)</f>
        <v>14531.26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675A-4069-4F6A-A1AB-BEFE5639B419}">
  <sheetPr>
    <tabColor indexed="20"/>
  </sheetPr>
  <dimension ref="A1:C52"/>
  <sheetViews>
    <sheetView topLeftCell="A4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WINNACUNNET</v>
      </c>
      <c r="C1" s="239" t="s">
        <v>870</v>
      </c>
    </row>
    <row r="2" spans="1:3" x14ac:dyDescent="0.2">
      <c r="A2" s="234"/>
      <c r="B2" s="233"/>
    </row>
    <row r="3" spans="1:3" x14ac:dyDescent="0.2">
      <c r="A3" s="277" t="s">
        <v>815</v>
      </c>
      <c r="B3" s="277"/>
      <c r="C3" s="277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6" t="s">
        <v>814</v>
      </c>
      <c r="C6" s="276"/>
    </row>
    <row r="7" spans="1:3" x14ac:dyDescent="0.2">
      <c r="A7" s="240" t="s">
        <v>817</v>
      </c>
      <c r="B7" s="274" t="s">
        <v>813</v>
      </c>
      <c r="C7" s="275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6041879.0300000003</v>
      </c>
      <c r="C9" s="230">
        <f>'DOE25'!G189+'DOE25'!G207+'DOE25'!G225+'DOE25'!G268+'DOE25'!G287+'DOE25'!G306</f>
        <v>2244095.35</v>
      </c>
    </row>
    <row r="10" spans="1:3" x14ac:dyDescent="0.2">
      <c r="A10" t="s">
        <v>810</v>
      </c>
      <c r="B10" s="241">
        <f>5460590.36+229374.87</f>
        <v>5689965.2300000004</v>
      </c>
      <c r="C10" s="241">
        <f>33492.25+2164635.84+13065.12</f>
        <v>2211193.21</v>
      </c>
    </row>
    <row r="11" spans="1:3" x14ac:dyDescent="0.2">
      <c r="A11" t="s">
        <v>811</v>
      </c>
      <c r="B11" s="241">
        <v>38186.36</v>
      </c>
      <c r="C11" s="241">
        <f>6947</f>
        <v>6947</v>
      </c>
    </row>
    <row r="12" spans="1:3" x14ac:dyDescent="0.2">
      <c r="A12" t="s">
        <v>812</v>
      </c>
      <c r="B12" s="241">
        <f>71747.33+62194.08+12054.53+167731.5</f>
        <v>313727.44</v>
      </c>
      <c r="C12" s="241">
        <f>11145.18+1055.98+13753.98</f>
        <v>25955.14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6041879.0300000012</v>
      </c>
      <c r="C13" s="232">
        <f>SUM(C10:C12)</f>
        <v>2244095.35</v>
      </c>
    </row>
    <row r="14" spans="1:3" x14ac:dyDescent="0.2">
      <c r="B14" s="231"/>
      <c r="C14" s="231"/>
    </row>
    <row r="15" spans="1:3" x14ac:dyDescent="0.2">
      <c r="B15" s="276" t="s">
        <v>814</v>
      </c>
      <c r="C15" s="276"/>
    </row>
    <row r="16" spans="1:3" x14ac:dyDescent="0.2">
      <c r="A16" s="240" t="s">
        <v>818</v>
      </c>
      <c r="B16" s="274" t="s">
        <v>738</v>
      </c>
      <c r="C16" s="275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1720096.9700000002</v>
      </c>
      <c r="C18" s="230">
        <f>'DOE25'!G190+'DOE25'!G208+'DOE25'!G226+'DOE25'!G269+'DOE25'!G288+'DOE25'!G307</f>
        <v>635280.82999999996</v>
      </c>
    </row>
    <row r="19" spans="1:3" x14ac:dyDescent="0.2">
      <c r="A19" t="s">
        <v>810</v>
      </c>
      <c r="B19" s="241">
        <f>810316.78+240807.88+193550.39</f>
        <v>1244675.0500000003</v>
      </c>
      <c r="C19" s="241">
        <f>47689.88+258223.16+91267.56</f>
        <v>397180.6</v>
      </c>
    </row>
    <row r="20" spans="1:3" x14ac:dyDescent="0.2">
      <c r="A20" t="s">
        <v>811</v>
      </c>
      <c r="B20" s="241">
        <f>288304.6+893.75+37067.98</f>
        <v>326266.32999999996</v>
      </c>
      <c r="C20" s="241">
        <f>6231.13+175276.34</f>
        <v>181507.47</v>
      </c>
    </row>
    <row r="21" spans="1:3" x14ac:dyDescent="0.2">
      <c r="A21" t="s">
        <v>812</v>
      </c>
      <c r="B21" s="241">
        <f>85343.98+63811.61</f>
        <v>149155.59</v>
      </c>
      <c r="C21" s="241">
        <f>25367.72+31225.04</f>
        <v>56592.76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1720096.9700000004</v>
      </c>
      <c r="C22" s="232">
        <f>SUM(C19:C21)</f>
        <v>635280.82999999996</v>
      </c>
    </row>
    <row r="23" spans="1:3" x14ac:dyDescent="0.2">
      <c r="B23" s="231"/>
      <c r="C23" s="231"/>
    </row>
    <row r="24" spans="1:3" x14ac:dyDescent="0.2">
      <c r="B24" s="276" t="s">
        <v>814</v>
      </c>
      <c r="C24" s="276"/>
    </row>
    <row r="25" spans="1:3" x14ac:dyDescent="0.2">
      <c r="A25" s="240" t="s">
        <v>819</v>
      </c>
      <c r="B25" s="274" t="s">
        <v>739</v>
      </c>
      <c r="C25" s="275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6" t="s">
        <v>814</v>
      </c>
      <c r="C33" s="276"/>
    </row>
    <row r="34" spans="1:3" x14ac:dyDescent="0.2">
      <c r="A34" s="240" t="s">
        <v>820</v>
      </c>
      <c r="B34" s="274" t="s">
        <v>740</v>
      </c>
      <c r="C34" s="275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461526.68</v>
      </c>
      <c r="C36" s="236">
        <f>'DOE25'!G192+'DOE25'!G210+'DOE25'!G228+'DOE25'!G271+'DOE25'!G290+'DOE25'!G309</f>
        <v>128097.84</v>
      </c>
    </row>
    <row r="37" spans="1:3" x14ac:dyDescent="0.2">
      <c r="A37" t="s">
        <v>810</v>
      </c>
      <c r="B37" s="241">
        <v>25450.99</v>
      </c>
      <c r="C37" s="241">
        <v>1947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436075.69</v>
      </c>
      <c r="C39" s="241">
        <v>126150.84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461526.68</v>
      </c>
      <c r="C40" s="232">
        <f>SUM(C37:C39)</f>
        <v>128097.84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8822-AA00-4BCE-963B-CA9CD04BDF39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821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748</v>
      </c>
      <c r="B2" s="266" t="str">
        <f>'DOE25'!A2</f>
        <v>WINNACUNNET</v>
      </c>
      <c r="C2" s="181"/>
      <c r="D2" s="181" t="s">
        <v>823</v>
      </c>
      <c r="E2" s="181" t="s">
        <v>825</v>
      </c>
      <c r="F2" s="278" t="s">
        <v>852</v>
      </c>
      <c r="G2" s="279"/>
      <c r="H2" s="280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11977045.059999999</v>
      </c>
      <c r="D5" s="20">
        <f>SUM('DOE25'!L189:L192)+SUM('DOE25'!L207:L210)+SUM('DOE25'!L225:L228)-F5-G5</f>
        <v>11849981.01</v>
      </c>
      <c r="E5" s="244"/>
      <c r="F5" s="256">
        <f>SUM('DOE25'!J189:J192)+SUM('DOE25'!J207:J210)+SUM('DOE25'!J225:J228)</f>
        <v>101347.60999999999</v>
      </c>
      <c r="G5" s="53">
        <f>SUM('DOE25'!K189:K192)+SUM('DOE25'!K207:K210)+SUM('DOE25'!K225:K228)</f>
        <v>25716.44</v>
      </c>
      <c r="H5" s="260"/>
    </row>
    <row r="6" spans="1:9" x14ac:dyDescent="0.2">
      <c r="A6" s="32">
        <v>2100</v>
      </c>
      <c r="B6" t="s">
        <v>832</v>
      </c>
      <c r="C6" s="246">
        <f t="shared" si="0"/>
        <v>1108778.83</v>
      </c>
      <c r="D6" s="20">
        <f>'DOE25'!L194+'DOE25'!L212+'DOE25'!L230-F6-G6</f>
        <v>1108313.83</v>
      </c>
      <c r="E6" s="244"/>
      <c r="F6" s="256">
        <f>'DOE25'!J194+'DOE25'!J212+'DOE25'!J230</f>
        <v>0</v>
      </c>
      <c r="G6" s="53">
        <f>'DOE25'!K194+'DOE25'!K212+'DOE25'!K230</f>
        <v>465</v>
      </c>
      <c r="H6" s="260"/>
    </row>
    <row r="7" spans="1:9" x14ac:dyDescent="0.2">
      <c r="A7" s="32">
        <v>2200</v>
      </c>
      <c r="B7" t="s">
        <v>865</v>
      </c>
      <c r="C7" s="246">
        <f t="shared" si="0"/>
        <v>897133.26</v>
      </c>
      <c r="D7" s="20">
        <f>'DOE25'!L195+'DOE25'!L213+'DOE25'!L231-F7-G7</f>
        <v>841293.29</v>
      </c>
      <c r="E7" s="244"/>
      <c r="F7" s="256">
        <f>'DOE25'!J195+'DOE25'!J213+'DOE25'!J231</f>
        <v>55839.97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385262.50999999995</v>
      </c>
      <c r="D8" s="244"/>
      <c r="E8" s="20">
        <f>'DOE25'!L196+'DOE25'!L214+'DOE25'!L232-F8-G8-D9-D11</f>
        <v>377464.06999999995</v>
      </c>
      <c r="F8" s="256">
        <f>'DOE25'!J196+'DOE25'!J214+'DOE25'!J232</f>
        <v>0</v>
      </c>
      <c r="G8" s="53">
        <f>'DOE25'!K196+'DOE25'!K214+'DOE25'!K232</f>
        <v>7798.44</v>
      </c>
      <c r="H8" s="260"/>
    </row>
    <row r="9" spans="1:9" x14ac:dyDescent="0.2">
      <c r="A9" s="32">
        <v>2310</v>
      </c>
      <c r="B9" t="s">
        <v>849</v>
      </c>
      <c r="C9" s="246">
        <f t="shared" si="0"/>
        <v>42762.45</v>
      </c>
      <c r="D9" s="245">
        <f>31516.45+11246</f>
        <v>42762.45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17496</v>
      </c>
      <c r="D10" s="244"/>
      <c r="E10" s="245">
        <v>17496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131015.46</v>
      </c>
      <c r="D11" s="245">
        <v>131015.46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1121676.01</v>
      </c>
      <c r="D12" s="20">
        <f>'DOE25'!L197+'DOE25'!L215+'DOE25'!L233-F12-G12</f>
        <v>1102480.8999999999</v>
      </c>
      <c r="E12" s="244"/>
      <c r="F12" s="256">
        <f>'DOE25'!J197+'DOE25'!J215+'DOE25'!J233</f>
        <v>0</v>
      </c>
      <c r="G12" s="53">
        <f>'DOE25'!K197+'DOE25'!K215+'DOE25'!K233</f>
        <v>19195.11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1829320.3000000003</v>
      </c>
      <c r="D14" s="20">
        <f>'DOE25'!L199+'DOE25'!L217+'DOE25'!L235-F14-G14</f>
        <v>1785744.4900000002</v>
      </c>
      <c r="E14" s="244"/>
      <c r="F14" s="256">
        <f>'DOE25'!J199+'DOE25'!J217+'DOE25'!J235</f>
        <v>42935.81</v>
      </c>
      <c r="G14" s="53">
        <f>'DOE25'!K199+'DOE25'!K217+'DOE25'!K235</f>
        <v>640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732904.58</v>
      </c>
      <c r="D15" s="20">
        <f>'DOE25'!L200+'DOE25'!L218+'DOE25'!L236-F15-G15</f>
        <v>732904.58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1232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1232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108728.20999999999</v>
      </c>
      <c r="D17" s="20">
        <f>'DOE25'!L243-F17-G17</f>
        <v>108728.20999999999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508592.08</v>
      </c>
      <c r="D22" s="244"/>
      <c r="E22" s="244"/>
      <c r="F22" s="256">
        <f>'DOE25'!L247+'DOE25'!L328</f>
        <v>508592.08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2005287.5</v>
      </c>
      <c r="D25" s="244"/>
      <c r="E25" s="244"/>
      <c r="F25" s="259"/>
      <c r="G25" s="257"/>
      <c r="H25" s="258">
        <f>'DOE25'!L252+'DOE25'!L253+'DOE25'!L333+'DOE25'!L334</f>
        <v>2005287.5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299330.22000000003</v>
      </c>
      <c r="D29" s="20">
        <f>'DOE25'!L350+'DOE25'!L351+'DOE25'!L352-'DOE25'!I359-F29-G29</f>
        <v>258279.34000000003</v>
      </c>
      <c r="E29" s="244"/>
      <c r="F29" s="256">
        <f>'DOE25'!J350+'DOE25'!J351+'DOE25'!J352</f>
        <v>39298.620000000003</v>
      </c>
      <c r="G29" s="53">
        <f>'DOE25'!K350+'DOE25'!K351+'DOE25'!K352</f>
        <v>1752.26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752533.52</v>
      </c>
      <c r="D31" s="20">
        <f>'DOE25'!L282+'DOE25'!L301+'DOE25'!L320+'DOE25'!L325+'DOE25'!L326+'DOE25'!L327-F31-G31</f>
        <v>700432.82000000007</v>
      </c>
      <c r="E31" s="244"/>
      <c r="F31" s="256">
        <f>'DOE25'!J282+'DOE25'!J301+'DOE25'!J320+'DOE25'!J325+'DOE25'!J326+'DOE25'!J327</f>
        <v>46933.97</v>
      </c>
      <c r="G31" s="53">
        <f>'DOE25'!K282+'DOE25'!K301+'DOE25'!K320+'DOE25'!K325+'DOE25'!K326+'DOE25'!K327</f>
        <v>5166.7300000000005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18661936.379999999</v>
      </c>
      <c r="E33" s="247">
        <f>SUM(E5:E31)</f>
        <v>394960.06999999995</v>
      </c>
      <c r="F33" s="247">
        <f>SUM(F5:F31)</f>
        <v>794948.05999999994</v>
      </c>
      <c r="G33" s="247">
        <f>SUM(G5:G31)</f>
        <v>61965.98</v>
      </c>
      <c r="H33" s="247">
        <f>SUM(H5:H31)</f>
        <v>2005287.5</v>
      </c>
    </row>
    <row r="35" spans="2:8" ht="12" thickBot="1" x14ac:dyDescent="0.25">
      <c r="B35" s="254" t="s">
        <v>878</v>
      </c>
      <c r="D35" s="255">
        <f>E33</f>
        <v>394960.06999999995</v>
      </c>
      <c r="E35" s="250"/>
    </row>
    <row r="36" spans="2:8" ht="12" thickTop="1" x14ac:dyDescent="0.2">
      <c r="B36" t="s">
        <v>846</v>
      </c>
      <c r="D36" s="20">
        <f>D33</f>
        <v>18661936.379999999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5A65-63CF-495E-A384-297A446916B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WINNACUNNET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1165257.0900000001</v>
      </c>
      <c r="D9" s="95">
        <f>'DOE25'!G9</f>
        <v>200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33979.89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211343.9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124356.2</v>
      </c>
      <c r="D12" s="95">
        <f>'DOE25'!G12</f>
        <v>266070.94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39557.46</v>
      </c>
      <c r="D13" s="95">
        <f>'DOE25'!G13</f>
        <v>25466.28</v>
      </c>
      <c r="E13" s="95">
        <f>'DOE25'!H13</f>
        <v>7292.91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4624</v>
      </c>
      <c r="D14" s="95">
        <f>'DOE25'!G14</f>
        <v>592.71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1367774.64</v>
      </c>
      <c r="D19" s="41">
        <f>SUM(D9:D18)</f>
        <v>292329.93</v>
      </c>
      <c r="E19" s="41">
        <f>SUM(E9:E18)</f>
        <v>7292.91</v>
      </c>
      <c r="F19" s="41">
        <f>SUM(F9:F18)</f>
        <v>0</v>
      </c>
      <c r="G19" s="41">
        <f>SUM(G9:G18)</f>
        <v>211343.9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266070.94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277642.06</v>
      </c>
      <c r="D24" s="95">
        <f>'DOE25'!G25</f>
        <v>245.62</v>
      </c>
      <c r="E24" s="95">
        <f>'DOE25'!H25</f>
        <v>7292.91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17431.080000000002</v>
      </c>
      <c r="D28" s="95">
        <f>'DOE25'!G29</f>
        <v>802.65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71992.42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7486.78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633136.5</v>
      </c>
      <c r="D32" s="41">
        <f>SUM(D22:D31)</f>
        <v>8535.0499999999993</v>
      </c>
      <c r="E32" s="41">
        <f>SUM(E22:E31)</f>
        <v>7292.91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62631.12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100000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11366.9</v>
      </c>
      <c r="D40" s="95">
        <f>'DOE25'!G41</f>
        <v>283794.88</v>
      </c>
      <c r="E40" s="95">
        <f>'DOE25'!H41</f>
        <v>0</v>
      </c>
      <c r="F40" s="95">
        <f>'DOE25'!I41</f>
        <v>0</v>
      </c>
      <c r="G40" s="95">
        <f>'DOE25'!J41</f>
        <v>211343.9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560640.12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734638.14</v>
      </c>
      <c r="D42" s="41">
        <f>SUM(D34:D41)</f>
        <v>283794.88</v>
      </c>
      <c r="E42" s="41">
        <f>SUM(E34:E41)</f>
        <v>0</v>
      </c>
      <c r="F42" s="41">
        <f>SUM(F34:F41)</f>
        <v>0</v>
      </c>
      <c r="G42" s="41">
        <f>SUM(G34:G41)</f>
        <v>211343.9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1367774.6400000001</v>
      </c>
      <c r="D43" s="41">
        <f>D42+D32</f>
        <v>292329.93</v>
      </c>
      <c r="E43" s="41">
        <f>E42+E32</f>
        <v>7292.91</v>
      </c>
      <c r="F43" s="41">
        <f>F42+F32</f>
        <v>0</v>
      </c>
      <c r="G43" s="41">
        <f>G42+G32</f>
        <v>211343.9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14812484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25014.89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14294.7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10190.549999999999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472631.96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100903.89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140213.47999999998</v>
      </c>
      <c r="D54" s="130">
        <f>SUM(D49:D53)</f>
        <v>472631.96</v>
      </c>
      <c r="E54" s="130">
        <f>SUM(E49:E53)</f>
        <v>0</v>
      </c>
      <c r="F54" s="130">
        <f>SUM(F49:F53)</f>
        <v>0</v>
      </c>
      <c r="G54" s="130">
        <f>SUM(G49:G53)</f>
        <v>10190.549999999999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14952697.48</v>
      </c>
      <c r="D55" s="22">
        <f>D48+D54</f>
        <v>472631.96</v>
      </c>
      <c r="E55" s="22">
        <f>E48+E54</f>
        <v>0</v>
      </c>
      <c r="F55" s="22">
        <f>F48+F54</f>
        <v>0</v>
      </c>
      <c r="G55" s="22">
        <f>G48+G54</f>
        <v>10190.549999999999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405514.12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4492907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14707.88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4913129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513519.18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177764.33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12622.98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5040.18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703906.49</v>
      </c>
      <c r="D70" s="130">
        <f>SUM(D64:D69)</f>
        <v>5040.18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5617035.4900000002</v>
      </c>
      <c r="D73" s="130">
        <f>SUM(D71:D72)+D70+D62</f>
        <v>5040.18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171374.07999999999</v>
      </c>
      <c r="D80" s="95">
        <f>SUM('DOE25'!G145:G153)</f>
        <v>148847.58000000002</v>
      </c>
      <c r="E80" s="95">
        <f>SUM('DOE25'!H145:H153)</f>
        <v>752533.52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171374.07999999999</v>
      </c>
      <c r="D83" s="131">
        <f>SUM(D77:D82)</f>
        <v>148847.58000000002</v>
      </c>
      <c r="E83" s="131">
        <f>SUM(E77:E82)</f>
        <v>752533.52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796</v>
      </c>
      <c r="C96" s="86">
        <f>C55+C73+C83+C95</f>
        <v>20741107.049999997</v>
      </c>
      <c r="D96" s="86">
        <f>D55+D73+D83+D95</f>
        <v>626519.72</v>
      </c>
      <c r="E96" s="86">
        <f>E55+E73+E83+E95</f>
        <v>752533.52</v>
      </c>
      <c r="F96" s="86">
        <f>F55+F73+F83+F95</f>
        <v>0</v>
      </c>
      <c r="G96" s="86">
        <f>G55+G73+G95</f>
        <v>110190.55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8232390.6499999994</v>
      </c>
      <c r="D101" s="24" t="s">
        <v>312</v>
      </c>
      <c r="E101" s="95">
        <f>('DOE25'!L268)+('DOE25'!L287)+('DOE25'!L306)</f>
        <v>341875.63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2735724.55</v>
      </c>
      <c r="D102" s="24" t="s">
        <v>312</v>
      </c>
      <c r="E102" s="95">
        <f>('DOE25'!L269)+('DOE25'!L288)+('DOE25'!L307)</f>
        <v>405910.13000000006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181207.5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827722.35999999987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108728.20999999999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12085773.27</v>
      </c>
      <c r="D107" s="86">
        <f>SUM(D101:D106)</f>
        <v>0</v>
      </c>
      <c r="E107" s="86">
        <f>SUM(E101:E106)</f>
        <v>747785.76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1108778.83</v>
      </c>
      <c r="D110" s="24" t="s">
        <v>312</v>
      </c>
      <c r="E110" s="95">
        <f>+('DOE25'!L273)+('DOE25'!L292)+('DOE25'!L311)</f>
        <v>632.27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897133.26</v>
      </c>
      <c r="D111" s="24" t="s">
        <v>312</v>
      </c>
      <c r="E111" s="95">
        <f>+('DOE25'!L274)+('DOE25'!L293)+('DOE25'!L312)</f>
        <v>613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559040.41999999993</v>
      </c>
      <c r="D112" s="24" t="s">
        <v>312</v>
      </c>
      <c r="E112" s="95">
        <f>+('DOE25'!L275)+('DOE25'!L294)+('DOE25'!L313)</f>
        <v>3502.4900000000002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1121676.01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1829320.3000000003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732904.58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1232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647343.51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6250085.4000000004</v>
      </c>
      <c r="D120" s="86">
        <f>SUM(D110:D119)</f>
        <v>647343.51</v>
      </c>
      <c r="E120" s="86">
        <f>SUM(E110:E119)</f>
        <v>4747.76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508592.08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975000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1030287.5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54121.120000000003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56069.43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-10190.550000000003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2613879.5800000005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20949738.250000004</v>
      </c>
      <c r="D137" s="86">
        <f>(D107+D120+D136)</f>
        <v>647343.51</v>
      </c>
      <c r="E137" s="86">
        <f>(E107+E120+E136)</f>
        <v>752533.52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August 2004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August 2024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25484800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21250000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21250000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2005287.5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2005287.5</v>
      </c>
    </row>
    <row r="151" spans="1:7" x14ac:dyDescent="0.2">
      <c r="A151" s="22" t="s">
        <v>35</v>
      </c>
      <c r="B151" s="137">
        <f>'DOE25'!F488</f>
        <v>20275000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20275000</v>
      </c>
    </row>
    <row r="152" spans="1:7" x14ac:dyDescent="0.2">
      <c r="A152" s="22" t="s">
        <v>36</v>
      </c>
      <c r="B152" s="137">
        <f>'DOE25'!F489</f>
        <v>7586646.75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7586646.75</v>
      </c>
    </row>
    <row r="153" spans="1:7" x14ac:dyDescent="0.2">
      <c r="A153" s="22" t="s">
        <v>37</v>
      </c>
      <c r="B153" s="137">
        <f>'DOE25'!F490</f>
        <v>27861646.75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27861646.75</v>
      </c>
    </row>
    <row r="154" spans="1:7" x14ac:dyDescent="0.2">
      <c r="A154" s="22" t="s">
        <v>38</v>
      </c>
      <c r="B154" s="137">
        <f>'DOE25'!F491</f>
        <v>1030000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1030000</v>
      </c>
    </row>
    <row r="155" spans="1:7" x14ac:dyDescent="0.2">
      <c r="A155" s="22" t="s">
        <v>39</v>
      </c>
      <c r="B155" s="137">
        <f>'DOE25'!F492</f>
        <v>955922.5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955922.5</v>
      </c>
    </row>
    <row r="156" spans="1:7" x14ac:dyDescent="0.2">
      <c r="A156" s="22" t="s">
        <v>269</v>
      </c>
      <c r="B156" s="137">
        <f>'DOE25'!F493</f>
        <v>1985922.5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1985922.5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2B5C-FC49-4388-92B1-19F3CFDFF719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771</v>
      </c>
      <c r="B1" s="282"/>
      <c r="C1" s="282"/>
      <c r="D1" s="282"/>
    </row>
    <row r="2" spans="1:4" x14ac:dyDescent="0.2">
      <c r="A2" s="187" t="s">
        <v>748</v>
      </c>
      <c r="B2" s="186" t="str">
        <f>'DOE25'!A2</f>
        <v>WINNACUNNET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14531</v>
      </c>
    </row>
    <row r="7" spans="1:4" x14ac:dyDescent="0.2">
      <c r="B7" t="s">
        <v>736</v>
      </c>
      <c r="C7" s="179">
        <f>IF('DOE25'!I655+'DOE25'!I660=0,0,ROUND('DOE25'!I662,0))</f>
        <v>14531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8574266</v>
      </c>
      <c r="D10" s="182">
        <f>ROUND((C10/$C$28)*100,1)</f>
        <v>42.3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3141635</v>
      </c>
      <c r="D11" s="182">
        <f>ROUND((C11/$C$28)*100,1)</f>
        <v>15.5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181208</v>
      </c>
      <c r="D12" s="182">
        <f>ROUND((C12/$C$28)*100,1)</f>
        <v>0.9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827722</v>
      </c>
      <c r="D13" s="182">
        <f>ROUND((C13/$C$28)*100,1)</f>
        <v>4.0999999999999996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1109411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897746</v>
      </c>
      <c r="D16" s="182">
        <f t="shared" si="0"/>
        <v>4.4000000000000004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563775</v>
      </c>
      <c r="D17" s="182">
        <f t="shared" si="0"/>
        <v>2.8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1121676</v>
      </c>
      <c r="D18" s="182">
        <f t="shared" si="0"/>
        <v>5.5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1829320</v>
      </c>
      <c r="D20" s="182">
        <f t="shared" si="0"/>
        <v>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732905</v>
      </c>
      <c r="D21" s="182">
        <f t="shared" si="0"/>
        <v>3.6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108728</v>
      </c>
      <c r="D24" s="182">
        <f t="shared" si="0"/>
        <v>0.5</v>
      </c>
    </row>
    <row r="25" spans="1:4" x14ac:dyDescent="0.2">
      <c r="A25">
        <v>5120</v>
      </c>
      <c r="B25" t="s">
        <v>751</v>
      </c>
      <c r="C25" s="179">
        <f>ROUND('DOE25'!L253+'DOE25'!L334,0)</f>
        <v>1030288</v>
      </c>
      <c r="D25" s="182">
        <f t="shared" si="0"/>
        <v>5.0999999999999996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174712.03999999998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20293392.039999999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508592</v>
      </c>
    </row>
    <row r="30" spans="1:4" x14ac:dyDescent="0.2">
      <c r="B30" s="187" t="s">
        <v>760</v>
      </c>
      <c r="C30" s="180">
        <f>SUM(C28:C29)</f>
        <v>20801984.039999999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975000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14812484</v>
      </c>
      <c r="D35" s="182">
        <f t="shared" ref="D35:D40" si="1">ROUND((C35/$C$41)*100,1)</f>
        <v>68.400000000000006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150404.03000000119</v>
      </c>
      <c r="D36" s="182">
        <f t="shared" si="1"/>
        <v>0.7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4913129</v>
      </c>
      <c r="D37" s="182">
        <f t="shared" si="1"/>
        <v>22.7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708947</v>
      </c>
      <c r="D38" s="182">
        <f t="shared" si="1"/>
        <v>3.3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1072755</v>
      </c>
      <c r="D39" s="182">
        <f t="shared" si="1"/>
        <v>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21657719.030000001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D94D-CFF1-45A6-80FB-AC1060047DED}">
  <sheetPr>
    <tabColor indexed="17"/>
  </sheetPr>
  <dimension ref="A1:IV90"/>
  <sheetViews>
    <sheetView workbookViewId="0">
      <pane ySplit="3" topLeftCell="A4" activePane="bottomLeft" state="frozen"/>
      <selection pane="bottomLeft" activeCell="C9" sqref="C9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801</v>
      </c>
      <c r="B1" s="292"/>
      <c r="C1" s="292"/>
      <c r="D1" s="292"/>
      <c r="E1" s="292"/>
      <c r="F1" s="292"/>
      <c r="G1" s="292"/>
      <c r="H1" s="292"/>
      <c r="I1" s="292"/>
      <c r="J1" s="214"/>
      <c r="K1" s="214"/>
      <c r="L1" s="214"/>
      <c r="M1" s="215"/>
    </row>
    <row r="2" spans="1:26" ht="12.75" x14ac:dyDescent="0.2">
      <c r="A2" s="289" t="s">
        <v>798</v>
      </c>
      <c r="B2" s="290"/>
      <c r="C2" s="290"/>
      <c r="D2" s="290"/>
      <c r="E2" s="290"/>
      <c r="F2" s="295" t="str">
        <f>'DOE25'!A2</f>
        <v>WINNACUNNET</v>
      </c>
      <c r="G2" s="296"/>
      <c r="H2" s="296"/>
      <c r="I2" s="296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3" t="s">
        <v>802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9">
        <v>20</v>
      </c>
      <c r="B4" s="220">
        <v>10</v>
      </c>
      <c r="C4" s="273" t="s">
        <v>897</v>
      </c>
      <c r="D4" s="271"/>
      <c r="E4" s="271"/>
      <c r="F4" s="271"/>
      <c r="G4" s="271"/>
      <c r="H4" s="271"/>
      <c r="I4" s="271"/>
      <c r="J4" s="271"/>
      <c r="K4" s="271"/>
      <c r="L4" s="271"/>
      <c r="M4" s="27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4</v>
      </c>
      <c r="B5" s="220">
        <v>9</v>
      </c>
      <c r="C5" s="273" t="s">
        <v>900</v>
      </c>
      <c r="D5" s="271"/>
      <c r="E5" s="271"/>
      <c r="F5" s="271"/>
      <c r="G5" s="271"/>
      <c r="H5" s="271"/>
      <c r="I5" s="271"/>
      <c r="J5" s="271"/>
      <c r="K5" s="271"/>
      <c r="L5" s="271"/>
      <c r="M5" s="27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71" t="s">
        <v>899</v>
      </c>
      <c r="D6" s="271"/>
      <c r="E6" s="271"/>
      <c r="F6" s="271"/>
      <c r="G6" s="271"/>
      <c r="H6" s="271"/>
      <c r="I6" s="271"/>
      <c r="J6" s="271"/>
      <c r="K6" s="271"/>
      <c r="L6" s="271"/>
      <c r="M6" s="27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2"/>
      <c r="O29" s="212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8"/>
      <c r="AB29" s="208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8"/>
      <c r="AO29" s="208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8"/>
      <c r="BB29" s="208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8"/>
      <c r="BO29" s="208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8"/>
      <c r="CB29" s="208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8"/>
      <c r="CO29" s="208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8"/>
      <c r="DB29" s="208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8"/>
      <c r="DO29" s="208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8"/>
      <c r="EB29" s="208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8"/>
      <c r="EO29" s="208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8"/>
      <c r="FB29" s="208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8"/>
      <c r="FO29" s="208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8"/>
      <c r="GB29" s="208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8"/>
      <c r="GO29" s="208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8"/>
      <c r="HB29" s="208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8"/>
      <c r="HO29" s="208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8"/>
      <c r="IB29" s="208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8"/>
      <c r="IO29" s="208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9"/>
      <c r="B30" s="220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2"/>
      <c r="O30" s="212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8"/>
      <c r="AB30" s="208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8"/>
      <c r="AO30" s="208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8"/>
      <c r="BB30" s="208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8"/>
      <c r="BO30" s="208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8"/>
      <c r="CB30" s="208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8"/>
      <c r="CO30" s="208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8"/>
      <c r="DB30" s="208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8"/>
      <c r="DO30" s="208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8"/>
      <c r="EB30" s="208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8"/>
      <c r="EO30" s="208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8"/>
      <c r="FB30" s="208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8"/>
      <c r="FO30" s="208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8"/>
      <c r="GB30" s="208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8"/>
      <c r="GO30" s="208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8"/>
      <c r="HB30" s="208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8"/>
      <c r="HO30" s="208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8"/>
      <c r="IB30" s="208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8"/>
      <c r="IO30" s="208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9"/>
      <c r="B31" s="220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2"/>
      <c r="O31" s="212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8"/>
      <c r="AB31" s="208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8"/>
      <c r="AO31" s="208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8"/>
      <c r="BB31" s="208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8"/>
      <c r="BO31" s="208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8"/>
      <c r="CB31" s="208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8"/>
      <c r="CO31" s="208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8"/>
      <c r="DB31" s="208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8"/>
      <c r="DO31" s="208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8"/>
      <c r="EB31" s="208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8"/>
      <c r="EO31" s="208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8"/>
      <c r="FB31" s="208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8"/>
      <c r="FO31" s="208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8"/>
      <c r="GB31" s="208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8"/>
      <c r="GO31" s="208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8"/>
      <c r="HB31" s="208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8"/>
      <c r="HO31" s="208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8"/>
      <c r="IB31" s="208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8"/>
      <c r="IO31" s="208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9"/>
      <c r="B32" s="220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4"/>
      <c r="O32" s="224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9"/>
      <c r="AB32" s="220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9"/>
      <c r="AO32" s="220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9"/>
      <c r="BB32" s="220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9"/>
      <c r="BO32" s="220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9"/>
      <c r="CB32" s="220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9"/>
      <c r="CO32" s="220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9"/>
      <c r="DB32" s="220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9"/>
      <c r="DO32" s="220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9"/>
      <c r="EB32" s="220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9"/>
      <c r="EO32" s="220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9"/>
      <c r="FB32" s="220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9"/>
      <c r="FO32" s="220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9"/>
      <c r="GB32" s="220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9"/>
      <c r="GO32" s="220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9"/>
      <c r="HB32" s="220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9"/>
      <c r="HO32" s="220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9"/>
      <c r="IB32" s="220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9"/>
      <c r="IO32" s="220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9"/>
      <c r="B33" s="220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2"/>
      <c r="O38" s="212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8"/>
      <c r="AB38" s="208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8"/>
      <c r="AO38" s="208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8"/>
      <c r="BB38" s="208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8"/>
      <c r="BO38" s="208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8"/>
      <c r="CB38" s="208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8"/>
      <c r="CO38" s="208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8"/>
      <c r="DB38" s="208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8"/>
      <c r="DO38" s="208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8"/>
      <c r="EB38" s="208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8"/>
      <c r="EO38" s="208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8"/>
      <c r="FB38" s="208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8"/>
      <c r="FO38" s="208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8"/>
      <c r="GB38" s="208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8"/>
      <c r="GO38" s="208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8"/>
      <c r="HB38" s="208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8"/>
      <c r="HO38" s="208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8"/>
      <c r="IB38" s="208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8"/>
      <c r="IO38" s="208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9"/>
      <c r="B39" s="220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2"/>
      <c r="O39" s="212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8"/>
      <c r="AB39" s="208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8"/>
      <c r="AO39" s="208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8"/>
      <c r="BB39" s="208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8"/>
      <c r="BO39" s="208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8"/>
      <c r="CB39" s="208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8"/>
      <c r="CO39" s="208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8"/>
      <c r="DB39" s="208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8"/>
      <c r="DO39" s="208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8"/>
      <c r="EB39" s="208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8"/>
      <c r="EO39" s="208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8"/>
      <c r="FB39" s="208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8"/>
      <c r="FO39" s="208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8"/>
      <c r="GB39" s="208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8"/>
      <c r="GO39" s="208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8"/>
      <c r="HB39" s="208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8"/>
      <c r="HO39" s="208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8"/>
      <c r="IB39" s="208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8"/>
      <c r="IO39" s="208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9"/>
      <c r="B40" s="220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2"/>
      <c r="O40" s="212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8"/>
      <c r="AB40" s="208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8"/>
      <c r="AO40" s="208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8"/>
      <c r="BB40" s="208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8"/>
      <c r="BO40" s="208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8"/>
      <c r="CB40" s="208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8"/>
      <c r="CO40" s="208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8"/>
      <c r="DB40" s="208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8"/>
      <c r="DO40" s="208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8"/>
      <c r="EB40" s="208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8"/>
      <c r="EO40" s="208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8"/>
      <c r="FB40" s="208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8"/>
      <c r="FO40" s="208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8"/>
      <c r="GB40" s="208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8"/>
      <c r="GO40" s="208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8"/>
      <c r="HB40" s="208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8"/>
      <c r="HO40" s="208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8"/>
      <c r="IB40" s="208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8"/>
      <c r="IO40" s="208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9"/>
      <c r="B41" s="220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9"/>
      <c r="B60" s="220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9"/>
      <c r="B61" s="220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9"/>
      <c r="B62" s="220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9"/>
      <c r="B63" s="220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9"/>
      <c r="B64" s="220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9"/>
      <c r="B65" s="220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9"/>
      <c r="B66" s="220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9"/>
      <c r="B67" s="220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9"/>
      <c r="B68" s="220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9"/>
      <c r="B69" s="220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1"/>
      <c r="B70" s="222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9" t="s">
        <v>879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2"/>
      <c r="B74" s="212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2"/>
      <c r="B75" s="212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2"/>
      <c r="B76" s="212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2"/>
      <c r="B77" s="212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2"/>
      <c r="B78" s="212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2"/>
      <c r="B79" s="212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2"/>
      <c r="B80" s="212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2"/>
      <c r="B81" s="212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2"/>
      <c r="B82" s="212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2"/>
      <c r="B83" s="212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2"/>
      <c r="B84" s="212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2"/>
      <c r="B85" s="212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2"/>
      <c r="B86" s="212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2"/>
      <c r="B87" s="212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2"/>
      <c r="B88" s="212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2"/>
      <c r="B89" s="212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2"/>
      <c r="B90" s="212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B30A" sheet="1" objects="1" scenarios="1"/>
  <mergeCells count="220"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28:M28"/>
    <mergeCell ref="C81:M81"/>
    <mergeCell ref="C82:M82"/>
    <mergeCell ref="C83:M83"/>
    <mergeCell ref="C84:M84"/>
    <mergeCell ref="C85:M85"/>
    <mergeCell ref="C86:M86"/>
    <mergeCell ref="C75:M75"/>
    <mergeCell ref="C76:M76"/>
    <mergeCell ref="C77:M77"/>
    <mergeCell ref="C78:M78"/>
    <mergeCell ref="C79:M79"/>
    <mergeCell ref="C80:M80"/>
    <mergeCell ref="C68:M68"/>
    <mergeCell ref="C69:M69"/>
    <mergeCell ref="C70:M70"/>
    <mergeCell ref="A72:E72"/>
    <mergeCell ref="C73:M73"/>
    <mergeCell ref="C74:M74"/>
    <mergeCell ref="C62:M62"/>
    <mergeCell ref="C63:M63"/>
    <mergeCell ref="C64:M64"/>
    <mergeCell ref="C65:M65"/>
    <mergeCell ref="C66:M66"/>
    <mergeCell ref="C67:M67"/>
    <mergeCell ref="C35:M35"/>
    <mergeCell ref="C36:M36"/>
    <mergeCell ref="C14:M14"/>
    <mergeCell ref="C15:M15"/>
    <mergeCell ref="C16:M16"/>
    <mergeCell ref="C17:M17"/>
    <mergeCell ref="C18:M18"/>
    <mergeCell ref="C19:M19"/>
    <mergeCell ref="C21:M21"/>
    <mergeCell ref="C22:M22"/>
    <mergeCell ref="C9:M9"/>
    <mergeCell ref="C10:M10"/>
    <mergeCell ref="C11:M11"/>
    <mergeCell ref="C12:M12"/>
    <mergeCell ref="C13:M13"/>
    <mergeCell ref="C34:M34"/>
    <mergeCell ref="C23:M23"/>
    <mergeCell ref="C24:M24"/>
    <mergeCell ref="C7:M7"/>
    <mergeCell ref="C8:M8"/>
    <mergeCell ref="A2:E2"/>
    <mergeCell ref="A1:I1"/>
    <mergeCell ref="C3:M3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2011-10-03T12:57:37Z</cp:lastPrinted>
  <dcterms:created xsi:type="dcterms:W3CDTF">1997-12-04T19:04:30Z</dcterms:created>
  <dcterms:modified xsi:type="dcterms:W3CDTF">2025-01-16T15:38:32Z</dcterms:modified>
</cp:coreProperties>
</file>