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E611687-0273-4813-A9F6-924477770386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CE2E9937-1A20-44CA-B0E7-710DDFF93E2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28" i="1"/>
  <c r="F132" i="1"/>
  <c r="H113" i="1"/>
  <c r="H128" i="1"/>
  <c r="H132" i="1"/>
  <c r="G128" i="1"/>
  <c r="G113" i="1"/>
  <c r="G132" i="1"/>
  <c r="I113" i="1"/>
  <c r="I128" i="1"/>
  <c r="I132" i="1"/>
  <c r="J113" i="1"/>
  <c r="J128" i="1"/>
  <c r="J132" i="1"/>
  <c r="C38" i="10"/>
  <c r="C37" i="10"/>
  <c r="C60" i="2"/>
  <c r="B2" i="13"/>
  <c r="F8" i="13"/>
  <c r="G8" i="13"/>
  <c r="L196" i="1"/>
  <c r="L214" i="1"/>
  <c r="L232" i="1"/>
  <c r="E8" i="13"/>
  <c r="D39" i="13"/>
  <c r="F13" i="13"/>
  <c r="G13" i="13"/>
  <c r="L198" i="1"/>
  <c r="L216" i="1"/>
  <c r="L234" i="1"/>
  <c r="E13" i="13"/>
  <c r="F16" i="13"/>
  <c r="G16" i="13"/>
  <c r="L201" i="1"/>
  <c r="L219" i="1"/>
  <c r="L237" i="1"/>
  <c r="E16" i="13"/>
  <c r="E33" i="13"/>
  <c r="D35" i="13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D5" i="13"/>
  <c r="F6" i="13"/>
  <c r="G6" i="13"/>
  <c r="L194" i="1"/>
  <c r="L212" i="1"/>
  <c r="L230" i="1"/>
  <c r="D6" i="13"/>
  <c r="F7" i="13"/>
  <c r="G7" i="13"/>
  <c r="L195" i="1"/>
  <c r="L213" i="1"/>
  <c r="L231" i="1"/>
  <c r="D7" i="13"/>
  <c r="F12" i="13"/>
  <c r="G12" i="13"/>
  <c r="L197" i="1"/>
  <c r="L215" i="1"/>
  <c r="L233" i="1"/>
  <c r="D12" i="13"/>
  <c r="F14" i="13"/>
  <c r="G14" i="13"/>
  <c r="L199" i="1"/>
  <c r="L217" i="1"/>
  <c r="L235" i="1"/>
  <c r="D14" i="13"/>
  <c r="F15" i="13"/>
  <c r="G15" i="13"/>
  <c r="L200" i="1"/>
  <c r="L218" i="1"/>
  <c r="L236" i="1"/>
  <c r="D15" i="13"/>
  <c r="F17" i="13"/>
  <c r="G17" i="13"/>
  <c r="L243" i="1"/>
  <c r="D17" i="13"/>
  <c r="F18" i="13"/>
  <c r="G18" i="13"/>
  <c r="L244" i="1"/>
  <c r="D18" i="13"/>
  <c r="F19" i="13"/>
  <c r="G19" i="13"/>
  <c r="L245" i="1"/>
  <c r="D19" i="13"/>
  <c r="F29" i="13"/>
  <c r="G29" i="13"/>
  <c r="L350" i="1"/>
  <c r="L351" i="1"/>
  <c r="L352" i="1"/>
  <c r="I359" i="1"/>
  <c r="D29" i="13"/>
  <c r="J282" i="1"/>
  <c r="J301" i="1"/>
  <c r="J320" i="1"/>
  <c r="F31" i="13"/>
  <c r="K282" i="1"/>
  <c r="K301" i="1"/>
  <c r="K320" i="1"/>
  <c r="G31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2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D31" i="13"/>
  <c r="D33" i="13"/>
  <c r="D36" i="13"/>
  <c r="G33" i="13"/>
  <c r="L252" i="1"/>
  <c r="L253" i="1"/>
  <c r="L333" i="1"/>
  <c r="L334" i="1"/>
  <c r="H25" i="13"/>
  <c r="H33" i="13"/>
  <c r="L247" i="1"/>
  <c r="L328" i="1"/>
  <c r="F22" i="13"/>
  <c r="F33" i="13"/>
  <c r="C31" i="13"/>
  <c r="C29" i="13"/>
  <c r="C25" i="13"/>
  <c r="C22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L353" i="1"/>
  <c r="L354" i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9" i="12"/>
  <c r="C13" i="12"/>
  <c r="A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C133" i="2"/>
  <c r="J52" i="1"/>
  <c r="G48" i="2"/>
  <c r="G51" i="2"/>
  <c r="G53" i="2"/>
  <c r="G54" i="2"/>
  <c r="G55" i="2"/>
  <c r="F2" i="11"/>
  <c r="L603" i="1"/>
  <c r="H653" i="1"/>
  <c r="L602" i="1"/>
  <c r="G653" i="1"/>
  <c r="L601" i="1"/>
  <c r="F653" i="1"/>
  <c r="C40" i="10"/>
  <c r="F52" i="1"/>
  <c r="G52" i="1"/>
  <c r="H52" i="1"/>
  <c r="I52" i="1"/>
  <c r="C35" i="10"/>
  <c r="F71" i="1"/>
  <c r="F86" i="1"/>
  <c r="F103" i="1"/>
  <c r="F104" i="1"/>
  <c r="G103" i="1"/>
  <c r="G104" i="1"/>
  <c r="H71" i="1"/>
  <c r="H86" i="1"/>
  <c r="H103" i="1"/>
  <c r="H104" i="1"/>
  <c r="I103" i="1"/>
  <c r="I104" i="1"/>
  <c r="J103" i="1"/>
  <c r="J104" i="1"/>
  <c r="C36" i="10"/>
  <c r="F139" i="1"/>
  <c r="F154" i="1"/>
  <c r="F161" i="1"/>
  <c r="G139" i="1"/>
  <c r="G154" i="1"/>
  <c r="G161" i="1"/>
  <c r="H139" i="1"/>
  <c r="H154" i="1"/>
  <c r="H161" i="1"/>
  <c r="I139" i="1"/>
  <c r="I154" i="1"/>
  <c r="I161" i="1"/>
  <c r="C39" i="10"/>
  <c r="C41" i="10"/>
  <c r="D40" i="10"/>
  <c r="D39" i="10"/>
  <c r="D38" i="10"/>
  <c r="D37" i="10"/>
  <c r="D36" i="10"/>
  <c r="D35" i="10"/>
  <c r="C27" i="10"/>
  <c r="C10" i="10"/>
  <c r="C11" i="10"/>
  <c r="C12" i="10"/>
  <c r="C13" i="10"/>
  <c r="C15" i="10"/>
  <c r="C16" i="10"/>
  <c r="C17" i="10"/>
  <c r="C18" i="10"/>
  <c r="C19" i="10"/>
  <c r="C20" i="10"/>
  <c r="C21" i="10"/>
  <c r="L242" i="1"/>
  <c r="L324" i="1"/>
  <c r="C23" i="10"/>
  <c r="L246" i="1"/>
  <c r="C24" i="10"/>
  <c r="C25" i="10"/>
  <c r="L260" i="1"/>
  <c r="L261" i="1"/>
  <c r="L341" i="1"/>
  <c r="L342" i="1"/>
  <c r="C26" i="10"/>
  <c r="C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3" i="10"/>
  <c r="D12" i="10"/>
  <c r="D11" i="10"/>
  <c r="D10" i="10"/>
  <c r="I655" i="1"/>
  <c r="I660" i="1"/>
  <c r="L203" i="1"/>
  <c r="F650" i="1"/>
  <c r="L221" i="1"/>
  <c r="G650" i="1"/>
  <c r="L239" i="1"/>
  <c r="H650" i="1"/>
  <c r="I650" i="1"/>
  <c r="F651" i="1"/>
  <c r="G651" i="1"/>
  <c r="H651" i="1"/>
  <c r="I651" i="1"/>
  <c r="F652" i="1"/>
  <c r="G652" i="1"/>
  <c r="H652" i="1"/>
  <c r="I652" i="1"/>
  <c r="I653" i="1"/>
  <c r="I654" i="1"/>
  <c r="I659" i="1"/>
  <c r="I662" i="1"/>
  <c r="C7" i="10"/>
  <c r="H654" i="1"/>
  <c r="H662" i="1"/>
  <c r="C6" i="10"/>
  <c r="G654" i="1"/>
  <c r="G662" i="1"/>
  <c r="C5" i="10"/>
  <c r="F654" i="1"/>
  <c r="F662" i="1"/>
  <c r="C4" i="10"/>
  <c r="D28" i="10"/>
  <c r="D41" i="10"/>
  <c r="C42" i="10"/>
  <c r="C32" i="10"/>
  <c r="L366" i="1"/>
  <c r="L367" i="1"/>
  <c r="L368" i="1"/>
  <c r="L369" i="1"/>
  <c r="L370" i="1"/>
  <c r="L371" i="1"/>
  <c r="L372" i="1"/>
  <c r="C29" i="10"/>
  <c r="C30" i="10"/>
  <c r="B2" i="10"/>
  <c r="L336" i="1"/>
  <c r="L337" i="1"/>
  <c r="L338" i="1"/>
  <c r="L339" i="1"/>
  <c r="L343" i="1"/>
  <c r="I657" i="1"/>
  <c r="H657" i="1"/>
  <c r="G657" i="1"/>
  <c r="F657" i="1"/>
  <c r="K343" i="1"/>
  <c r="L511" i="1"/>
  <c r="F539" i="1"/>
  <c r="L512" i="1"/>
  <c r="F540" i="1"/>
  <c r="L513" i="1"/>
  <c r="F541" i="1"/>
  <c r="F542" i="1"/>
  <c r="L516" i="1"/>
  <c r="G539" i="1"/>
  <c r="L517" i="1"/>
  <c r="G540" i="1"/>
  <c r="L518" i="1"/>
  <c r="G541" i="1"/>
  <c r="G542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/>
  <c r="I542" i="1"/>
  <c r="L531" i="1"/>
  <c r="J539" i="1"/>
  <c r="L532" i="1"/>
  <c r="J540" i="1"/>
  <c r="L533" i="1"/>
  <c r="J541" i="1"/>
  <c r="J542" i="1"/>
  <c r="K539" i="1"/>
  <c r="K540" i="1"/>
  <c r="K541" i="1"/>
  <c r="K542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D19" i="2"/>
  <c r="E19" i="2"/>
  <c r="F19" i="2"/>
  <c r="G19" i="2"/>
  <c r="C22" i="2"/>
  <c r="D22" i="2"/>
  <c r="E22" i="2"/>
  <c r="F22" i="2"/>
  <c r="I440" i="1"/>
  <c r="J23" i="1"/>
  <c r="G22" i="2"/>
  <c r="C23" i="2"/>
  <c r="D23" i="2"/>
  <c r="E23" i="2"/>
  <c r="F23" i="2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D32" i="2"/>
  <c r="E32" i="2"/>
  <c r="F32" i="2"/>
  <c r="G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/>
  <c r="C41" i="2"/>
  <c r="D41" i="2"/>
  <c r="E41" i="2"/>
  <c r="F41" i="2"/>
  <c r="C42" i="2"/>
  <c r="D42" i="2"/>
  <c r="E42" i="2"/>
  <c r="F42" i="2"/>
  <c r="G42" i="2"/>
  <c r="C43" i="2"/>
  <c r="D43" i="2"/>
  <c r="E43" i="2"/>
  <c r="F43" i="2"/>
  <c r="G43" i="2"/>
  <c r="C48" i="2"/>
  <c r="D48" i="2"/>
  <c r="E48" i="2"/>
  <c r="F48" i="2"/>
  <c r="C49" i="2"/>
  <c r="E49" i="2"/>
  <c r="C50" i="2"/>
  <c r="E50" i="2"/>
  <c r="C51" i="2"/>
  <c r="D51" i="2"/>
  <c r="E51" i="2"/>
  <c r="F51" i="2"/>
  <c r="D52" i="2"/>
  <c r="C53" i="2"/>
  <c r="D53" i="2"/>
  <c r="E53" i="2"/>
  <c r="F53" i="2"/>
  <c r="C54" i="2"/>
  <c r="D54" i="2"/>
  <c r="E54" i="2"/>
  <c r="F54" i="2"/>
  <c r="C55" i="2"/>
  <c r="D55" i="2"/>
  <c r="E55" i="2"/>
  <c r="F55" i="2"/>
  <c r="C58" i="2"/>
  <c r="C59" i="2"/>
  <c r="C61" i="2"/>
  <c r="D61" i="2"/>
  <c r="E61" i="2"/>
  <c r="F61" i="2"/>
  <c r="G61" i="2"/>
  <c r="C62" i="2"/>
  <c r="D62" i="2"/>
  <c r="E62" i="2"/>
  <c r="F62" i="2"/>
  <c r="G62" i="2"/>
  <c r="C64" i="2"/>
  <c r="F64" i="2"/>
  <c r="C65" i="2"/>
  <c r="F65" i="2"/>
  <c r="C66" i="2"/>
  <c r="C67" i="2"/>
  <c r="C68" i="2"/>
  <c r="E68" i="2"/>
  <c r="F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C72" i="2"/>
  <c r="E72" i="2"/>
  <c r="C73" i="2"/>
  <c r="D73" i="2"/>
  <c r="E73" i="2"/>
  <c r="F73" i="2"/>
  <c r="G73" i="2"/>
  <c r="C77" i="2"/>
  <c r="D77" i="2"/>
  <c r="E77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E83" i="2"/>
  <c r="F83" i="2"/>
  <c r="C85" i="2"/>
  <c r="F85" i="2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G95" i="2"/>
  <c r="C96" i="2"/>
  <c r="D96" i="2"/>
  <c r="E96" i="2"/>
  <c r="F96" i="2"/>
  <c r="G96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D107" i="2"/>
  <c r="E107" i="2"/>
  <c r="F107" i="2"/>
  <c r="G107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D119" i="2"/>
  <c r="C120" i="2"/>
  <c r="D120" i="2"/>
  <c r="E120" i="2"/>
  <c r="F120" i="2"/>
  <c r="G120" i="2"/>
  <c r="C122" i="2"/>
  <c r="E122" i="2"/>
  <c r="F122" i="2"/>
  <c r="D126" i="2"/>
  <c r="E126" i="2"/>
  <c r="F126" i="2"/>
  <c r="K411" i="1"/>
  <c r="K419" i="1"/>
  <c r="K425" i="1"/>
  <c r="K426" i="1"/>
  <c r="G126" i="2"/>
  <c r="L255" i="1"/>
  <c r="C127" i="2"/>
  <c r="E127" i="2"/>
  <c r="L256" i="1"/>
  <c r="C128" i="2"/>
  <c r="L257" i="1"/>
  <c r="C129" i="2"/>
  <c r="E129" i="2"/>
  <c r="C134" i="2"/>
  <c r="E134" i="2"/>
  <c r="C135" i="2"/>
  <c r="E135" i="2"/>
  <c r="C136" i="2"/>
  <c r="D136" i="2"/>
  <c r="E136" i="2"/>
  <c r="F136" i="2"/>
  <c r="G136" i="2"/>
  <c r="C137" i="2"/>
  <c r="D137" i="2"/>
  <c r="E137" i="2"/>
  <c r="F137" i="2"/>
  <c r="G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/>
  <c r="J490" i="1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G156" i="2"/>
  <c r="F19" i="1"/>
  <c r="G19" i="1"/>
  <c r="H19" i="1"/>
  <c r="I19" i="1"/>
  <c r="J19" i="1"/>
  <c r="F33" i="1"/>
  <c r="G33" i="1"/>
  <c r="H33" i="1"/>
  <c r="I33" i="1"/>
  <c r="J33" i="1"/>
  <c r="F43" i="1"/>
  <c r="G43" i="1"/>
  <c r="H43" i="1"/>
  <c r="I43" i="1"/>
  <c r="J43" i="1"/>
  <c r="F44" i="1"/>
  <c r="G44" i="1"/>
  <c r="H44" i="1"/>
  <c r="I44" i="1"/>
  <c r="J44" i="1"/>
  <c r="F169" i="1"/>
  <c r="I169" i="1"/>
  <c r="F175" i="1"/>
  <c r="G175" i="1"/>
  <c r="H175" i="1"/>
  <c r="I175" i="1"/>
  <c r="J175" i="1"/>
  <c r="F180" i="1"/>
  <c r="G180" i="1"/>
  <c r="H180" i="1"/>
  <c r="I180" i="1"/>
  <c r="F184" i="1"/>
  <c r="G184" i="1"/>
  <c r="H184" i="1"/>
  <c r="I184" i="1"/>
  <c r="J184" i="1"/>
  <c r="F185" i="1"/>
  <c r="G185" i="1"/>
  <c r="H185" i="1"/>
  <c r="I185" i="1"/>
  <c r="J185" i="1"/>
  <c r="F203" i="1"/>
  <c r="G203" i="1"/>
  <c r="H203" i="1"/>
  <c r="I203" i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G249" i="1"/>
  <c r="H249" i="1"/>
  <c r="I249" i="1"/>
  <c r="J249" i="1"/>
  <c r="K249" i="1"/>
  <c r="L249" i="1"/>
  <c r="L262" i="1"/>
  <c r="F263" i="1"/>
  <c r="G263" i="1"/>
  <c r="H263" i="1"/>
  <c r="I263" i="1"/>
  <c r="J263" i="1"/>
  <c r="K263" i="1"/>
  <c r="L263" i="1"/>
  <c r="F282" i="1"/>
  <c r="G282" i="1"/>
  <c r="H282" i="1"/>
  <c r="I28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F330" i="1"/>
  <c r="G330" i="1"/>
  <c r="H330" i="1"/>
  <c r="I330" i="1"/>
  <c r="J330" i="1"/>
  <c r="K330" i="1"/>
  <c r="L330" i="1"/>
  <c r="F344" i="1"/>
  <c r="G344" i="1"/>
  <c r="H344" i="1"/>
  <c r="I344" i="1"/>
  <c r="J344" i="1"/>
  <c r="K344" i="1"/>
  <c r="L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0" i="1"/>
  <c r="L405" i="1"/>
  <c r="L406" i="1"/>
  <c r="L407" i="1"/>
  <c r="L408" i="1"/>
  <c r="L409" i="1"/>
  <c r="L410" i="1"/>
  <c r="F411" i="1"/>
  <c r="G411" i="1"/>
  <c r="H411" i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H426" i="1"/>
  <c r="I426" i="1"/>
  <c r="J426" i="1"/>
  <c r="L426" i="1"/>
  <c r="F438" i="1"/>
  <c r="G438" i="1"/>
  <c r="H438" i="1"/>
  <c r="I438" i="1"/>
  <c r="F444" i="1"/>
  <c r="G444" i="1"/>
  <c r="H444" i="1"/>
  <c r="I444" i="1"/>
  <c r="F450" i="1"/>
  <c r="G450" i="1"/>
  <c r="H450" i="1"/>
  <c r="I450" i="1"/>
  <c r="F451" i="1"/>
  <c r="G451" i="1"/>
  <c r="H451" i="1"/>
  <c r="I451" i="1"/>
  <c r="F460" i="1"/>
  <c r="G460" i="1"/>
  <c r="H460" i="1"/>
  <c r="I460" i="1"/>
  <c r="J460" i="1"/>
  <c r="F464" i="1"/>
  <c r="G464" i="1"/>
  <c r="H464" i="1"/>
  <c r="I464" i="1"/>
  <c r="J464" i="1"/>
  <c r="F466" i="1"/>
  <c r="G466" i="1"/>
  <c r="H466" i="1"/>
  <c r="I466" i="1"/>
  <c r="J46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5" i="1"/>
  <c r="G535" i="1"/>
  <c r="H535" i="1"/>
  <c r="I535" i="1"/>
  <c r="J535" i="1"/>
  <c r="K535" i="1"/>
  <c r="L535" i="1"/>
  <c r="L547" i="1"/>
  <c r="L548" i="1"/>
  <c r="L549" i="1"/>
  <c r="F550" i="1"/>
  <c r="G550" i="1"/>
  <c r="H550" i="1"/>
  <c r="I550" i="1"/>
  <c r="J550" i="1"/>
  <c r="K550" i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59" i="1"/>
  <c r="F560" i="1"/>
  <c r="G560" i="1"/>
  <c r="H560" i="1"/>
  <c r="I560" i="1"/>
  <c r="J560" i="1"/>
  <c r="K560" i="1"/>
  <c r="L560" i="1"/>
  <c r="F561" i="1"/>
  <c r="G561" i="1"/>
  <c r="H561" i="1"/>
  <c r="I561" i="1"/>
  <c r="J561" i="1"/>
  <c r="K561" i="1"/>
  <c r="L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J588" i="1"/>
  <c r="K588" i="1"/>
  <c r="K592" i="1"/>
  <c r="K593" i="1"/>
  <c r="K594" i="1"/>
  <c r="H595" i="1"/>
  <c r="I595" i="1"/>
  <c r="J595" i="1"/>
  <c r="K595" i="1"/>
  <c r="F604" i="1"/>
  <c r="G604" i="1"/>
  <c r="H604" i="1"/>
  <c r="I604" i="1"/>
  <c r="J604" i="1"/>
  <c r="K604" i="1"/>
  <c r="L604" i="1"/>
  <c r="G607" i="1"/>
  <c r="H607" i="1"/>
  <c r="J607" i="1"/>
  <c r="G608" i="1"/>
  <c r="H608" i="1"/>
  <c r="J608" i="1"/>
  <c r="G609" i="1"/>
  <c r="H609" i="1"/>
  <c r="J609" i="1"/>
  <c r="G610" i="1"/>
  <c r="H610" i="1"/>
  <c r="J610" i="1"/>
  <c r="G611" i="1"/>
  <c r="H611" i="1"/>
  <c r="J611" i="1"/>
  <c r="G612" i="1"/>
  <c r="H612" i="1"/>
  <c r="J612" i="1"/>
  <c r="G613" i="1"/>
  <c r="H613" i="1"/>
  <c r="J613" i="1"/>
  <c r="G614" i="1"/>
  <c r="H614" i="1"/>
  <c r="J614" i="1"/>
  <c r="G615" i="1"/>
  <c r="H615" i="1"/>
  <c r="J615" i="1"/>
  <c r="G616" i="1"/>
  <c r="H616" i="1"/>
  <c r="J616" i="1"/>
  <c r="G617" i="1"/>
  <c r="H617" i="1"/>
  <c r="J617" i="1"/>
  <c r="G618" i="1"/>
  <c r="H618" i="1"/>
  <c r="J618" i="1"/>
  <c r="G619" i="1"/>
  <c r="H619" i="1"/>
  <c r="J619" i="1"/>
  <c r="G620" i="1"/>
  <c r="H620" i="1"/>
  <c r="J620" i="1"/>
  <c r="G621" i="1"/>
  <c r="H621" i="1"/>
  <c r="J621" i="1"/>
  <c r="G622" i="1"/>
  <c r="H622" i="1"/>
  <c r="J622" i="1"/>
  <c r="G623" i="1"/>
  <c r="H623" i="1"/>
  <c r="J623" i="1"/>
  <c r="G624" i="1"/>
  <c r="H624" i="1"/>
  <c r="J624" i="1"/>
  <c r="G625" i="1"/>
  <c r="H625" i="1"/>
  <c r="J625" i="1"/>
  <c r="G626" i="1"/>
  <c r="H626" i="1"/>
  <c r="J626" i="1"/>
  <c r="G627" i="1"/>
  <c r="H627" i="1"/>
  <c r="J627" i="1"/>
  <c r="G628" i="1"/>
  <c r="H628" i="1"/>
  <c r="J628" i="1"/>
  <c r="G629" i="1"/>
  <c r="H629" i="1"/>
  <c r="J629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G636" i="1"/>
  <c r="H636" i="1"/>
  <c r="J636" i="1"/>
  <c r="G637" i="1"/>
  <c r="H637" i="1"/>
  <c r="J637" i="1"/>
  <c r="G638" i="1"/>
  <c r="H638" i="1"/>
  <c r="J638" i="1"/>
  <c r="G639" i="1"/>
  <c r="H639" i="1"/>
  <c r="J639" i="1"/>
  <c r="G640" i="1"/>
  <c r="H640" i="1"/>
  <c r="J640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E2ECA75-C9E7-4D04-B0BB-2BB1E84600D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E57FC3B-2953-40A6-93D1-16F6032DF6C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E1ECA30-7668-4141-86D9-1D0D3B0C24D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45FCFE6-EEC9-487A-A6F8-A0AFB799435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E8969D4-2FAF-418A-A098-BFC8FCFFE8C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2E075E4-6B4F-45A6-924E-B1476EA3009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2EC6A2A-983B-44BC-B552-0CCE06DD18C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181D2C9-4EFC-4C72-8BEF-60DF419474E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BE7558A-C4FE-472A-9209-1D913AB326B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664E99D-2BFC-4861-B946-7EAAA2CB827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52EE05D-EA41-4D8C-BA16-2D21420A9DD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E200986-0A9D-48AF-B5B0-4A3FD895A63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<sst xmlns="http://schemas.openxmlformats.org/spreadsheetml/2006/main" count="3868" uniqueCount="905">
  <si>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</si>
  <si>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</si>
  <si>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</si>
  <si>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</si>
  <si>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</si>
  <si>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</si>
  <si>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</si>
  <si>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</si>
  <si>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</si>
  <si>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</si>
  <si>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</si>
  <si>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</si>
  <si>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</si>
  <si>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</si>
  <si>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</si>
  <si>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</si>
  <si>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</si>
  <si>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</si>
  <si>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</si>
  <si>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</si>
  <si>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</si>
  <si>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</si>
  <si>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</si>
  <si>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</si>
  <si>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</si>
  <si>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</si>
  <si>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</si>
  <si>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</si>
  <si>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</si>
  <si>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</si>
  <si>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</si>
  <si>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</si>
  <si>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</si>
  <si>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</si>
  <si>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</si>
  <si>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</si>
  <si>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</si>
  <si>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</si>
  <si>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</si>
  <si>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</si>
  <si>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</si>
  <si>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</si>
  <si>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</si>
  <si>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</si>
  <si>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</si>
  <si>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</si>
  <si>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</si>
  <si>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</si>
  <si>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</si>
  <si>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</si>
  <si>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</si>
  <si>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</si>
  <si>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</si>
  <si>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</si>
  <si>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</si>
  <si>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</si>
  <si>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</si>
  <si>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</si>
  <si>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</si>
  <si>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</si>
  <si>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</si>
  <si>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</si>
  <si>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</si>
  <si>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</si>
  <si>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</si>
  <si>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</si>
  <si>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</si>
  <si>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</si>
  <si>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</si>
  <si>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</si>
  <si>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</si>
  <si>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</si>
  <si>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</si>
  <si>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</si>
  <si>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</si>
  <si>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</si>
  <si>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</si>
  <si>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</si>
  <si>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</si>
  <si>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</si>
  <si>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</si>
  <si>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</si>
  <si>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</si>
  <si>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</si>
  <si>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</si>
  <si>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</si>
  <si>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</si>
  <si>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</si>
  <si>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</si>
  <si>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</si>
  <si>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</si>
  <si>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</si>
  <si>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</si>
  <si>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</si>
  <si>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</si>
  <si>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</si>
  <si>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</si>
  <si>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</si>
  <si>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</si>
  <si>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</si>
  <si>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</si>
  <si>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</si>
  <si>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</si>
  <si>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</si>
  <si>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</si>
  <si>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</si>
  <si>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</si>
  <si>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</si>
  <si>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</si>
  <si>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</si>
  <si>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</si>
  <si>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</si>
  <si>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</si>
  <si>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</si>
  <si>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</si>
  <si>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</si>
  <si>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</si>
  <si>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</si>
  <si>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</si>
  <si>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</si>
  <si>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</si>
  <si>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</si>
  <si>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</si>
  <si>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</si>
  <si>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</si>
  <si>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</si>
  <si>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</si>
  <si>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</si>
  <si>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</si>
  <si>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</si>
  <si>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</si>
  <si>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</si>
  <si>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</si>
  <si>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</si>
  <si>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</si>
  <si>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</si>
  <si>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</si>
  <si>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</si>
  <si>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</si>
  <si>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</si>
  <si>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</si>
  <si>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</si>
  <si>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</si>
  <si>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</si>
  <si>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</si>
  <si>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</si>
  <si>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</si>
  <si>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</si>
  <si>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</si>
  <si>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</si>
  <si>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</si>
  <si>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</si>
  <si>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</si>
  <si>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</si>
  <si>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</si>
  <si>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</si>
  <si>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</si>
  <si>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</si>
  <si>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</si>
  <si>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</si>
  <si>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</si>
  <si>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</si>
  <si>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</si>
  <si>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</si>
  <si>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</si>
  <si>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</si>
  <si>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</si>
  <si>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</si>
  <si>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</si>
  <si>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</si>
  <si>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</si>
  <si>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</si>
  <si>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</si>
  <si>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</si>
  <si>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</si>
  <si>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</si>
  <si>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</si>
  <si>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</si>
  <si>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</si>
  <si>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</si>
  <si>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</si>
  <si>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</si>
  <si>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</si>
  <si>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</si>
  <si>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</si>
  <si>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</si>
  <si>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</si>
  <si>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</si>
  <si>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</si>
  <si>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</si>
  <si>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</si>
  <si>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</si>
  <si>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</si>
  <si>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</si>
  <si>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</si>
  <si>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</si>
  <si>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</si>
  <si>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</si>
  <si>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</si>
  <si>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</si>
  <si>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</si>
  <si>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</si>
  <si>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</si>
  <si>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</si>
  <si>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</si>
  <si>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</si>
  <si>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</si>
  <si>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</si>
  <si>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</si>
  <si>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</si>
  <si>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</si>
  <si>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</si>
  <si>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</si>
  <si>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</si>
  <si>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</si>
  <si>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</si>
  <si>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</si>
  <si>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</si>
  <si>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</si>
  <si>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</si>
  <si>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</si>
  <si>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</si>
  <si>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</si>
  <si>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</si>
  <si>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</si>
  <si>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</si>
  <si>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</si>
  <si>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</si>
  <si>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</si>
  <si>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</si>
  <si>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</si>
  <si>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</si>
  <si>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</si>
  <si>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</si>
  <si>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</si>
  <si>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</si>
  <si>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</si>
  <si>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</si>
  <si>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</si>
  <si>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</si>
  <si>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</si>
  <si>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</si>
  <si>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</si>
  <si>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</si>
  <si>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</si>
  <si>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</si>
  <si>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</si>
  <si>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</si>
  <si>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</si>
  <si>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</si>
  <si>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</si>
  <si>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</si>
  <si>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</si>
  <si>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</si>
  <si>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</si>
  <si>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</si>
  <si>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</si>
  <si>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</si>
  <si>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</si>
  <si>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</si>
  <si>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</si>
  <si>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</si>
  <si>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</si>
  <si>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</si>
  <si>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</si>
  <si>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</si>
  <si>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</si>
  <si>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</si>
  <si>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</si>
  <si>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</si>
  <si>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</si>
  <si>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</si>
  <si>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</si>
  <si>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</si>
  <si>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</si>
  <si>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</si>
  <si>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</si>
  <si>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</si>
  <si>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</si>
  <si>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</si>
  <si>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</si>
  <si>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</si>
  <si>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</si>
  <si>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</si>
  <si>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</si>
  <si>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</si>
  <si>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</si>
  <si>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</si>
  <si>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</si>
  <si>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</si>
  <si>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</si>
  <si>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</si>
  <si>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</si>
  <si>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</si>
  <si>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</si>
  <si>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</si>
  <si>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</si>
  <si>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</si>
  <si>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</si>
  <si>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</si>
  <si>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</si>
  <si>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</si>
  <si>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</si>
  <si>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</si>
  <si>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</si>
  <si>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</si>
  <si>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</si>
  <si>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</si>
  <si>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</si>
  <si>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</si>
  <si>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</si>
  <si>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</si>
  <si>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</si>
  <si>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</si>
  <si>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</si>
  <si>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</si>
  <si>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</si>
  <si>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</si>
  <si>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</si>
  <si>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</si>
  <si>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</si>
  <si>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</si>
  <si>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</si>
  <si>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</si>
  <si>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</si>
  <si>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</si>
  <si>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</si>
  <si>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</si>
  <si>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</si>
  <si>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</si>
  <si>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</si>
  <si>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</si>
  <si>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</si>
  <si>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</si>
  <si>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</si>
  <si>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</si>
  <si>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</si>
  <si>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</si>
  <si>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</si>
  <si>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</si>
  <si>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</si>
  <si>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</si>
  <si>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</si>
  <si>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</si>
  <si>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</si>
  <si>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</si>
  <si>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</si>
  <si>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</si>
  <si>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</si>
  <si>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</si>
  <si>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</si>
  <si>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</si>
  <si>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</si>
  <si>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</si>
  <si>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</si>
  <si>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</si>
  <si>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</si>
  <si>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</si>
  <si>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</si>
  <si>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</si>
  <si>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</si>
  <si>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</si>
  <si>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</si>
  <si>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</si>
  <si>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</si>
  <si>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</si>
  <si>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</si>
  <si>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</si>
  <si>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</si>
  <si>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</si>
  <si>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</si>
  <si>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</si>
  <si>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</si>
  <si>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</si>
  <si>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</si>
  <si>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</si>
  <si>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</si>
  <si>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</si>
  <si>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</si>
  <si>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</si>
  <si>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</si>
  <si>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</si>
  <si>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</si>
  <si>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</si>
  <si>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</si>
  <si>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</si>
  <si>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</si>
  <si>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</si>
  <si>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</si>
  <si>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</si>
  <si>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</si>
  <si>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</si>
  <si>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</si>
  <si>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</si>
  <si>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</si>
  <si>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</si>
  <si>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</si>
  <si>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</si>
  <si>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</si>
  <si>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</si>
  <si>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</si>
  <si>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</si>
  <si>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</si>
  <si>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</si>
  <si>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</si>
  <si>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</si>
  <si>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</si>
  <si>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</si>
  <si>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</si>
  <si>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</si>
  <si>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</si>
  <si>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</si>
  <si>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</si>
  <si>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</si>
  <si>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</si>
  <si>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</si>
  <si>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</si>
  <si>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</si>
  <si>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</si>
  <si>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</si>
  <si>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</si>
  <si>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</si>
  <si>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</si>
  <si>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</si>
  <si>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</si>
  <si>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</si>
  <si>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</si>
  <si>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</si>
  <si>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</si>
  <si>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</si>
  <si>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</si>
  <si>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</si>
  <si>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</si>
  <si>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</si>
  <si>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</si>
  <si>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</si>
  <si>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</si>
  <si>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</si>
  <si>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</si>
  <si>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</si>
  <si>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</si>
  <si>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</si>
  <si>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</si>
  <si>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</si>
  <si>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</si>
  <si>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</si>
  <si>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</si>
  <si>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</si>
  <si>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</si>
  <si>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</si>
  <si>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</si>
  <si>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</si>
  <si>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</si>
  <si>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</si>
  <si>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</si>
  <si>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</si>
  <si>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</si>
  <si>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</si>
  <si>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</si>
  <si>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</si>
  <si>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</si>
  <si>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</si>
  <si>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</si>
  <si>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</si>
  <si>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</si>
  <si>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</si>
  <si>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</si>
  <si>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</si>
  <si>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</si>
  <si>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</si>
  <si>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</si>
  <si>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</si>
  <si>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</si>
  <si>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</si>
  <si>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</si>
  <si>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</si>
  <si>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</si>
  <si>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</si>
  <si>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</si>
  <si>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</si>
  <si>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</si>
  <si>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</si>
  <si>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</si>
  <si>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</si>
  <si>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</si>
  <si>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</si>
  <si>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</si>
  <si>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</si>
  <si>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</si>
  <si>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</si>
  <si>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</si>
  <si>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</si>
  <si>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</si>
  <si>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</si>
  <si>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</si>
  <si>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</si>
  <si>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</si>
  <si>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</si>
  <si>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</si>
  <si>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</si>
  <si>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</si>
  <si>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</si>
  <si>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</si>
  <si>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</si>
  <si>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</si>
  <si>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</si>
  <si>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</si>
  <si>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</si>
  <si>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</si>
  <si>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</si>
  <si>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</si>
  <si>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</si>
  <si>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</si>
  <si>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</si>
  <si>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</si>
  <si>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</si>
  <si>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</si>
  <si>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</si>
  <si>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</si>
  <si>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</si>
  <si>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</si>
  <si>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</si>
  <si>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</si>
  <si>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</si>
  <si>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</si>
  <si>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</si>
  <si>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</si>
  <si>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</si>
  <si>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</si>
  <si>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</si>
  <si>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</si>
  <si>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</si>
  <si>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</si>
  <si>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</si>
  <si>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</si>
  <si>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</si>
  <si>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</si>
  <si>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</si>
  <si>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</si>
  <si>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</si>
  <si>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</si>
  <si>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</si>
  <si>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</si>
  <si>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</si>
  <si>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</si>
  <si>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</si>
  <si>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</si>
  <si>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</si>
  <si>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</si>
  <si>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</si>
  <si>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</si>
  <si>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</si>
  <si>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</si>
  <si>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</si>
  <si>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</si>
  <si>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</si>
  <si>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</si>
  <si>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</si>
  <si>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</si>
  <si>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</si>
  <si>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</si>
  <si>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</si>
  <si>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</si>
  <si>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</si>
  <si>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</si>
  <si>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</si>
  <si>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</si>
  <si>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</si>
  <si>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</si>
  <si>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</si>
  <si>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</si>
  <si>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</si>
  <si>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</si>
  <si>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</si>
  <si>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</si>
  <si>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</si>
  <si>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</si>
  <si>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</si>
  <si>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</si>
  <si>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</si>
  <si>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</si>
  <si>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</si>
  <si>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</si>
  <si>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</si>
  <si>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</si>
  <si>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</si>
  <si>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</si>
  <si>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</si>
  <si>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</si>
  <si>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</si>
  <si>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</si>
  <si>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</si>
  <si>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</si>
  <si>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</si>
  <si>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</si>
  <si>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</si>
  <si>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</si>
  <si>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</si>
  <si>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</si>
  <si>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</si>
  <si>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</si>
  <si>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</si>
  <si>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</si>
  <si>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</si>
  <si>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</si>
  <si>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</si>
  <si>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</si>
  <si>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</si>
  <si>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</si>
  <si>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</si>
  <si>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</si>
  <si>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</si>
  <si>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</si>
  <si>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</si>
  <si>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</si>
  <si>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</si>
  <si>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</si>
  <si>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</si>
  <si>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</si>
  <si>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</si>
  <si>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</si>
  <si>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</si>
  <si>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</si>
  <si>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</si>
  <si>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</si>
  <si>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</si>
  <si>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</si>
  <si>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</si>
  <si>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</si>
  <si>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</si>
  <si>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</si>
  <si>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</si>
  <si>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</si>
  <si>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</si>
  <si>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</si>
  <si>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</si>
  <si>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</si>
  <si>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</si>
  <si>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</si>
  <si>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</si>
  <si>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</si>
  <si>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</si>
  <si>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</si>
  <si>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</si>
  <si>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</si>
  <si>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</si>
  <si>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</si>
  <si>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</si>
  <si>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</si>
  <si>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</si>
  <si>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</si>
  <si>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</si>
  <si>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</si>
  <si>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</si>
  <si>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</si>
  <si>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</si>
  <si>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</si>
  <si>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</si>
  <si>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</si>
  <si>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</si>
  <si>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</si>
  <si>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</si>
  <si>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</si>
  <si>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</si>
  <si>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</si>
  <si>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</si>
  <si>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</si>
  <si>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</si>
  <si>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</si>
  <si>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</si>
  <si>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</si>
  <si>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</si>
  <si>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</si>
  <si>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</si>
  <si>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</si>
  <si>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</si>
  <si>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</si>
  <si>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</si>
  <si>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</si>
  <si>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</si>
  <si>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</si>
  <si>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</si>
  <si>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</si>
  <si>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</si>
  <si>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</si>
  <si>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</si>
  <si>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</si>
  <si>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</si>
  <si>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</si>
  <si>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</si>
  <si>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</si>
  <si>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</si>
  <si>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</si>
  <si>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</si>
  <si>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</si>
  <si>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</si>
  <si>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</si>
  <si>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</si>
  <si>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</si>
  <si>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</si>
  <si>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</si>
  <si>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</si>
  <si>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</si>
  <si>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</si>
  <si>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</si>
  <si>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</si>
  <si>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</si>
  <si>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</si>
  <si>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</si>
  <si>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</si>
  <si>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</si>
  <si>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</si>
  <si>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</si>
  <si>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</si>
  <si>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</si>
  <si>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</si>
  <si>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</si>
  <si>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</si>
  <si>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</si>
  <si>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</si>
  <si>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</si>
  <si>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</si>
  <si>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</si>
  <si>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</si>
  <si>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</si>
  <si>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</si>
  <si>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</si>
  <si>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</si>
  <si>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</si>
  <si>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</si>
  <si>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</si>
  <si>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</si>
  <si>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</si>
  <si>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</si>
  <si>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</si>
  <si>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</si>
  <si>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</si>
  <si>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</si>
  <si>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</si>
  <si>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</si>
  <si>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</si>
  <si>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</si>
  <si>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</si>
  <si>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</si>
  <si>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</si>
  <si>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</si>
  <si>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</si>
  <si>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</si>
  <si>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</si>
  <si>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</si>
  <si>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</si>
  <si>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</si>
  <si>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</si>
  <si>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</si>
  <si>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</si>
  <si>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</si>
  <si>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</si>
  <si>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</si>
  <si>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</si>
  <si>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</si>
  <si>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</si>
  <si>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</si>
  <si>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</si>
  <si>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</si>
  <si>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</si>
  <si>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</si>
  <si>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</si>
  <si>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</si>
  <si>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</si>
  <si>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</si>
  <si>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</si>
  <si>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</si>
  <si>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</si>
  <si>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</si>
  <si>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</si>
  <si>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</si>
  <si>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</si>
  <si>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</si>
  <si>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</si>
  <si>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</si>
  <si>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</si>
  <si>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</si>
  <si>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</si>
  <si>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</si>
  <si>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</si>
  <si>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</si>
  <si>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</si>
  <si>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</si>
  <si>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</si>
  <si>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</si>
  <si>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</si>
  <si>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</si>
  <si>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</si>
  <si>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</si>
  <si>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</si>
  <si>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</si>
  <si>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</si>
  <si>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</si>
  <si>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</si>
  <si>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</si>
  <si>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</si>
  <si>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</si>
  <si>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</si>
  <si>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</si>
  <si>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</si>
  <si>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</si>
  <si>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</si>
  <si>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</si>
  <si>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</si>
  <si>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</si>
  <si>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</si>
  <si>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</si>
  <si>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</si>
  <si>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</si>
  <si>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</si>
  <si>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</si>
  <si>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</si>
  <si>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</si>
  <si>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</si>
  <si>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</si>
  <si>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</si>
  <si>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</si>
  <si>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</si>
  <si>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</si>
  <si>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</si>
  <si>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</si>
  <si>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</si>
  <si>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</si>
  <si>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</si>
  <si>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</si>
  <si>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</si>
  <si>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</si>
  <si>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</si>
  <si>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</si>
  <si>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</si>
  <si>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</si>
  <si>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</si>
  <si>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</si>
  <si>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</si>
  <si>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</si>
  <si>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</si>
  <si>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</si>
  <si>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</si>
  <si>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</si>
  <si>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</si>
  <si>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</si>
  <si>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</si>
  <si>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</si>
  <si>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</si>
  <si>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</si>
  <si>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</si>
  <si>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</si>
  <si>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</si>
  <si>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</si>
  <si>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</si>
  <si>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</si>
  <si>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</si>
  <si>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</si>
  <si>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</si>
  <si>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</si>
  <si>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</si>
  <si>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</si>
  <si>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</si>
  <si>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</si>
  <si>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</si>
  <si>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</si>
  <si>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</si>
  <si>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</si>
  <si>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</si>
  <si>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</si>
  <si>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</si>
  <si>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</si>
  <si>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</si>
  <si>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</si>
  <si>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</si>
  <si>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</si>
  <si>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</si>
  <si>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</si>
  <si>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</si>
  <si>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</si>
  <si>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</si>
  <si>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</si>
  <si>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</si>
  <si>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</si>
  <si>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</si>
  <si>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</si>
  <si>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</si>
  <si>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</si>
  <si>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</si>
  <si>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</si>
  <si>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</si>
  <si>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</si>
  <si>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</si>
  <si>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</si>
  <si>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Winnisquam Regional SAU #59</t>
  </si>
  <si>
    <t>01/91</t>
  </si>
  <si>
    <t>07/10</t>
  </si>
  <si>
    <t>01/03</t>
  </si>
  <si>
    <t>01/15</t>
  </si>
  <si>
    <t>02/02</t>
  </si>
  <si>
    <t>08/11</t>
  </si>
  <si>
    <t>03/11</t>
  </si>
  <si>
    <t>08/21</t>
  </si>
  <si>
    <t>11/09</t>
  </si>
  <si>
    <t>12/24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</si>
</sst>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64BE-C2EA-4C9D-A28E-24483108338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19" activePane="bottomRight" state="frozen"/>
      <selection pane="topRight" activeCell="F1" sqref="F1"/>
      <selection pane="bottomLeft" activeCell="A4" sqref="A4"/>
      <selection pane="bottomRight" activeCell="L629" sqref="L62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582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990207.5</v>
      </c>
      <c r="G9" s="18">
        <v>3202.44</v>
      </c>
      <c r="H9" s="18"/>
      <c r="I9" s="18"/>
      <c r="J9" s="67">
        <f>SUM(I431)</f>
        <v>936456.9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>
        <v>44390.17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252560.47</v>
      </c>
      <c r="G12" s="18">
        <v>86763.57</v>
      </c>
      <c r="H12" s="18">
        <v>66719.12</v>
      </c>
      <c r="I12" s="18">
        <v>122760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3300</v>
      </c>
      <c r="G13" s="18">
        <v>19858.16</v>
      </c>
      <c r="H13" s="18">
        <v>368415.45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481925.52</v>
      </c>
      <c r="G14" s="18">
        <v>4830.24</v>
      </c>
      <c r="H14" s="18">
        <v>500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30695.200000000001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1758688.69</v>
      </c>
      <c r="G19" s="41">
        <f>SUM(G9:G18)</f>
        <v>114654.41000000002</v>
      </c>
      <c r="H19" s="41">
        <f>SUM(H9:H18)</f>
        <v>435634.57</v>
      </c>
      <c r="I19" s="41">
        <f>SUM(I9:I18)</f>
        <v>167150.16999999998</v>
      </c>
      <c r="J19" s="41">
        <f>SUM(J9:J18)</f>
        <v>936456.9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360448.53</v>
      </c>
      <c r="I23" s="18">
        <v>100612.83</v>
      </c>
      <c r="J23" s="67">
        <f>SUM(I440)</f>
        <v>102405.26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251.07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210464.11</v>
      </c>
      <c r="G25" s="18">
        <v>124.51</v>
      </c>
      <c r="H25" s="18"/>
      <c r="I25" s="18"/>
      <c r="J25" s="67">
        <f>SUM(I442)</f>
        <v>460759.45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21909.95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291980.45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10428.76</v>
      </c>
      <c r="H31" s="18">
        <v>8215.85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6961.22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531315.73</v>
      </c>
      <c r="G33" s="41">
        <f>SUM(G23:G32)</f>
        <v>10553.27</v>
      </c>
      <c r="H33" s="41">
        <f>SUM(H23:H32)</f>
        <v>368915.45</v>
      </c>
      <c r="I33" s="41">
        <f>SUM(I23:I32)</f>
        <v>100612.83</v>
      </c>
      <c r="J33" s="41">
        <f>SUM(J23:J32)</f>
        <v>563164.71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364812.45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530000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104101.14</v>
      </c>
      <c r="H41" s="18">
        <v>66719.12</v>
      </c>
      <c r="I41" s="18">
        <v>66537.34</v>
      </c>
      <c r="J41" s="13">
        <f>SUM(I449)</f>
        <v>373292.19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332560.51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1227372.96</v>
      </c>
      <c r="G43" s="41">
        <f>SUM(G35:G42)</f>
        <v>104101.14</v>
      </c>
      <c r="H43" s="41">
        <f>SUM(H35:H42)</f>
        <v>66719.12</v>
      </c>
      <c r="I43" s="41">
        <f>SUM(I35:I42)</f>
        <v>66537.34</v>
      </c>
      <c r="J43" s="41">
        <f>SUM(J35:J42)</f>
        <v>373292.19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1758688.69</v>
      </c>
      <c r="G44" s="41">
        <f>G43+G33</f>
        <v>114654.41</v>
      </c>
      <c r="H44" s="41">
        <f>H43+H33</f>
        <v>435634.57</v>
      </c>
      <c r="I44" s="41">
        <f>I43+I33</f>
        <v>167150.16999999998</v>
      </c>
      <c r="J44" s="41">
        <f>J43+J33</f>
        <v>936456.89999999991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11099276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11099276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3910</v>
      </c>
      <c r="G56" s="24" t="s">
        <v>312</v>
      </c>
      <c r="H56" s="18">
        <v>2894.43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42591.28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28702.59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75203.87</v>
      </c>
      <c r="G71" s="45" t="s">
        <v>312</v>
      </c>
      <c r="H71" s="41">
        <f>SUM(H55:H70)</f>
        <v>2894.43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2240.09</v>
      </c>
      <c r="G88" s="18">
        <v>8.2100000000000009</v>
      </c>
      <c r="H88" s="18"/>
      <c r="I88" s="18">
        <v>527.55999999999995</v>
      </c>
      <c r="J88" s="18">
        <v>1657.95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313599.92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2742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825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5269.32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2047.04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52937.82</v>
      </c>
      <c r="G102" s="18"/>
      <c r="H102" s="18">
        <v>12692.53</v>
      </c>
      <c r="I102" s="18">
        <v>28405</v>
      </c>
      <c r="J102" s="18">
        <v>3945.91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60791.95</v>
      </c>
      <c r="G103" s="41">
        <f>SUM(G88:G102)</f>
        <v>313608.13</v>
      </c>
      <c r="H103" s="41">
        <f>SUM(H88:H102)</f>
        <v>17961.849999999999</v>
      </c>
      <c r="I103" s="41">
        <f>SUM(I88:I102)</f>
        <v>28932.560000000001</v>
      </c>
      <c r="J103" s="41">
        <f>SUM(J88:J102)</f>
        <v>5603.86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11235271.819999998</v>
      </c>
      <c r="G104" s="41">
        <f>G52+G103</f>
        <v>313608.13</v>
      </c>
      <c r="H104" s="41">
        <f>H52+H71+H86+H103</f>
        <v>20856.28</v>
      </c>
      <c r="I104" s="41">
        <f>I52+I103</f>
        <v>28932.560000000001</v>
      </c>
      <c r="J104" s="41">
        <f>J52+J103</f>
        <v>5603.86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6113911.1699999999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2957636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221749.83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9293297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866400.66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43389.04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46151.26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6185.27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8175.38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12900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975026.2300000001</v>
      </c>
      <c r="G128" s="41">
        <f>SUM(G115:G127)</f>
        <v>8175.38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66719.12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10268323.23</v>
      </c>
      <c r="G132" s="41">
        <f>G113+SUM(G128:G129)</f>
        <v>8175.38</v>
      </c>
      <c r="H132" s="41">
        <f>H113+SUM(H128:H131)</f>
        <v>66719.12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373425.85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172123.87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47804.67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267262.64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556836.94999999995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127417.82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18070.5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145488.32000000001</v>
      </c>
      <c r="G154" s="41">
        <f>SUM(G142:G153)</f>
        <v>267262.64</v>
      </c>
      <c r="H154" s="41">
        <f>SUM(H142:H153)</f>
        <v>1150191.3399999999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145488.32000000001</v>
      </c>
      <c r="G161" s="41">
        <f>G139+G154+SUM(G155:G160)</f>
        <v>267262.64</v>
      </c>
      <c r="H161" s="41">
        <f>H139+H154+SUM(H155:H160)</f>
        <v>1150191.3399999999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2040.3</v>
      </c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2040.3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300000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14234.39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14234.39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300000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554487.1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554487.1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570761.78999999992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300000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22219845.159999996</v>
      </c>
      <c r="G185" s="47">
        <f>G104+G132+G161+G184</f>
        <v>589046.15</v>
      </c>
      <c r="H185" s="47">
        <f>H104+H132+H161+H184</f>
        <v>1237766.7399999998</v>
      </c>
      <c r="I185" s="47">
        <f>I104+I132+I161+I184</f>
        <v>28932.560000000001</v>
      </c>
      <c r="J185" s="47">
        <f>J104+J132+J184</f>
        <v>305603.86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2089459.86</v>
      </c>
      <c r="G189" s="18">
        <v>796414.59</v>
      </c>
      <c r="H189" s="18">
        <v>315</v>
      </c>
      <c r="I189" s="18">
        <v>97536.73</v>
      </c>
      <c r="J189" s="18">
        <v>8832.2000000000007</v>
      </c>
      <c r="K189" s="18"/>
      <c r="L189" s="19">
        <f>SUM(F189:K189)</f>
        <v>2992558.3800000004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696150.93</v>
      </c>
      <c r="G190" s="18">
        <v>290235.28999999998</v>
      </c>
      <c r="H190" s="18">
        <v>78912.210000000006</v>
      </c>
      <c r="I190" s="18">
        <v>8650.2999999999993</v>
      </c>
      <c r="J190" s="18">
        <v>445.4</v>
      </c>
      <c r="K190" s="18">
        <v>36992.449999999997</v>
      </c>
      <c r="L190" s="19">
        <f>SUM(F190:K190)</f>
        <v>1111386.5799999998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4199.84</v>
      </c>
      <c r="G192" s="18">
        <v>660.04</v>
      </c>
      <c r="H192" s="18"/>
      <c r="I192" s="18"/>
      <c r="J192" s="18"/>
      <c r="K192" s="18"/>
      <c r="L192" s="19">
        <f>SUM(F192:K192)</f>
        <v>4859.88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443569.1</v>
      </c>
      <c r="G194" s="18">
        <v>183067.12</v>
      </c>
      <c r="H194" s="18">
        <v>49029.27</v>
      </c>
      <c r="I194" s="18">
        <v>7453.06</v>
      </c>
      <c r="J194" s="18">
        <v>868.01</v>
      </c>
      <c r="K194" s="18"/>
      <c r="L194" s="19">
        <f t="shared" ref="L194:L200" si="0">SUM(F194:K194)</f>
        <v>683986.56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65440.01</v>
      </c>
      <c r="G195" s="18">
        <v>68422.41</v>
      </c>
      <c r="H195" s="18">
        <v>34252.68</v>
      </c>
      <c r="I195" s="18">
        <v>14059.45</v>
      </c>
      <c r="J195" s="18">
        <v>0</v>
      </c>
      <c r="K195" s="18">
        <v>431.05</v>
      </c>
      <c r="L195" s="19">
        <f t="shared" si="0"/>
        <v>182605.6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296930.99</v>
      </c>
      <c r="G196" s="18">
        <v>107355.87</v>
      </c>
      <c r="H196" s="18">
        <v>172651.3</v>
      </c>
      <c r="I196" s="18">
        <v>8983.92</v>
      </c>
      <c r="J196" s="18">
        <v>42816.36</v>
      </c>
      <c r="K196" s="18">
        <v>3369.12</v>
      </c>
      <c r="L196" s="19">
        <f t="shared" si="0"/>
        <v>632107.55999999994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344659.6</v>
      </c>
      <c r="G197" s="18">
        <v>128470.94</v>
      </c>
      <c r="H197" s="18">
        <v>9669.43</v>
      </c>
      <c r="I197" s="18">
        <v>2262.1</v>
      </c>
      <c r="J197" s="18">
        <v>0</v>
      </c>
      <c r="K197" s="18">
        <v>2220</v>
      </c>
      <c r="L197" s="19">
        <f t="shared" si="0"/>
        <v>487282.06999999995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86777.39</v>
      </c>
      <c r="G198" s="18">
        <v>38050.699999999997</v>
      </c>
      <c r="H198" s="18"/>
      <c r="I198" s="18"/>
      <c r="J198" s="18"/>
      <c r="K198" s="18"/>
      <c r="L198" s="19">
        <f t="shared" si="0"/>
        <v>124828.09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327098.90000000002</v>
      </c>
      <c r="G199" s="18">
        <v>146534.01999999999</v>
      </c>
      <c r="H199" s="18">
        <v>292635.52000000002</v>
      </c>
      <c r="I199" s="18">
        <v>174829.15</v>
      </c>
      <c r="J199" s="18">
        <v>32818.269999999997</v>
      </c>
      <c r="K199" s="18">
        <v>109.11</v>
      </c>
      <c r="L199" s="19">
        <f t="shared" si="0"/>
        <v>974024.97000000009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267533.74</v>
      </c>
      <c r="I200" s="18">
        <v>67040.289999999994</v>
      </c>
      <c r="J200" s="18"/>
      <c r="K200" s="18"/>
      <c r="L200" s="19">
        <f t="shared" si="0"/>
        <v>334574.02999999997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4354286.62</v>
      </c>
      <c r="G203" s="41">
        <f t="shared" si="1"/>
        <v>1759210.9799999997</v>
      </c>
      <c r="H203" s="41">
        <f t="shared" si="1"/>
        <v>904999.14999999991</v>
      </c>
      <c r="I203" s="41">
        <f t="shared" si="1"/>
        <v>380814.99999999994</v>
      </c>
      <c r="J203" s="41">
        <f t="shared" si="1"/>
        <v>85780.239999999991</v>
      </c>
      <c r="K203" s="41">
        <f t="shared" si="1"/>
        <v>43121.73</v>
      </c>
      <c r="L203" s="41">
        <f t="shared" si="1"/>
        <v>7528213.7199999997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1340437.71</v>
      </c>
      <c r="G207" s="18">
        <v>546676.85</v>
      </c>
      <c r="H207" s="18">
        <v>4128.1499999999996</v>
      </c>
      <c r="I207" s="18">
        <v>48725.88</v>
      </c>
      <c r="J207" s="18">
        <v>13455.96</v>
      </c>
      <c r="K207" s="18">
        <v>547.99</v>
      </c>
      <c r="L207" s="19">
        <f>SUM(F207:K207)</f>
        <v>1953972.5399999998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349550.35</v>
      </c>
      <c r="G208" s="18">
        <v>139726.62</v>
      </c>
      <c r="H208" s="18">
        <v>112077.75</v>
      </c>
      <c r="I208" s="18">
        <v>1349.42</v>
      </c>
      <c r="J208" s="18">
        <v>0</v>
      </c>
      <c r="K208" s="18">
        <v>5801.9</v>
      </c>
      <c r="L208" s="19">
        <f>SUM(F208:K208)</f>
        <v>608506.04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75109.13</v>
      </c>
      <c r="G210" s="18">
        <v>22250.44</v>
      </c>
      <c r="H210" s="18">
        <v>9511.35</v>
      </c>
      <c r="I210" s="18">
        <v>5477.53</v>
      </c>
      <c r="J210" s="18">
        <v>1506.2</v>
      </c>
      <c r="K210" s="18">
        <v>1295.0999999999999</v>
      </c>
      <c r="L210" s="19">
        <f>SUM(F210:K210)</f>
        <v>115149.75000000001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253371.82</v>
      </c>
      <c r="G212" s="18">
        <v>83843.37</v>
      </c>
      <c r="H212" s="18">
        <v>37424.65</v>
      </c>
      <c r="I212" s="18">
        <v>5720.57</v>
      </c>
      <c r="J212" s="18">
        <v>579.45000000000005</v>
      </c>
      <c r="K212" s="18">
        <v>455</v>
      </c>
      <c r="L212" s="19">
        <f t="shared" ref="L212:L218" si="2">SUM(F212:K212)</f>
        <v>381394.86000000004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58818.01</v>
      </c>
      <c r="G213" s="18">
        <v>45851.33</v>
      </c>
      <c r="H213" s="18">
        <v>21960.639999999999</v>
      </c>
      <c r="I213" s="18">
        <v>20371.93</v>
      </c>
      <c r="J213" s="18">
        <v>259</v>
      </c>
      <c r="K213" s="18">
        <v>244.49</v>
      </c>
      <c r="L213" s="19">
        <f t="shared" si="2"/>
        <v>147505.4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168417.89</v>
      </c>
      <c r="G214" s="18">
        <v>60891.76</v>
      </c>
      <c r="H214" s="18">
        <v>97927.02</v>
      </c>
      <c r="I214" s="18">
        <v>5095.6400000000003</v>
      </c>
      <c r="J214" s="18">
        <v>38953.72</v>
      </c>
      <c r="K214" s="18">
        <v>1910.95</v>
      </c>
      <c r="L214" s="19">
        <f t="shared" si="2"/>
        <v>373196.98000000004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220780.15</v>
      </c>
      <c r="G215" s="18">
        <v>112472.89</v>
      </c>
      <c r="H215" s="18">
        <v>7996.77</v>
      </c>
      <c r="I215" s="18">
        <v>4818.38</v>
      </c>
      <c r="J215" s="18"/>
      <c r="K215" s="18">
        <v>2018.5</v>
      </c>
      <c r="L215" s="19">
        <f t="shared" si="2"/>
        <v>348086.69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49219.74</v>
      </c>
      <c r="G216" s="18">
        <v>21582.18</v>
      </c>
      <c r="H216" s="18"/>
      <c r="I216" s="18"/>
      <c r="J216" s="18"/>
      <c r="K216" s="18"/>
      <c r="L216" s="19">
        <f t="shared" si="2"/>
        <v>70801.919999999998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145324.82</v>
      </c>
      <c r="G217" s="18">
        <v>58078.42</v>
      </c>
      <c r="H217" s="18">
        <v>222248.14</v>
      </c>
      <c r="I217" s="18">
        <v>89459.92</v>
      </c>
      <c r="J217" s="18">
        <v>39265.79</v>
      </c>
      <c r="K217" s="18">
        <v>61.89</v>
      </c>
      <c r="L217" s="19">
        <f t="shared" si="2"/>
        <v>554438.98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164692.57999999999</v>
      </c>
      <c r="I218" s="18">
        <v>38024.94</v>
      </c>
      <c r="J218" s="18"/>
      <c r="K218" s="18"/>
      <c r="L218" s="19">
        <f t="shared" si="2"/>
        <v>202717.52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2661029.62</v>
      </c>
      <c r="G221" s="41">
        <f>SUM(G207:G220)</f>
        <v>1091373.8599999999</v>
      </c>
      <c r="H221" s="41">
        <f>SUM(H207:H220)</f>
        <v>677967.05</v>
      </c>
      <c r="I221" s="41">
        <f>SUM(I207:I220)</f>
        <v>219044.21</v>
      </c>
      <c r="J221" s="41">
        <f>SUM(J207:J220)</f>
        <v>94020.12</v>
      </c>
      <c r="K221" s="41">
        <f t="shared" si="3"/>
        <v>12335.82</v>
      </c>
      <c r="L221" s="41">
        <f t="shared" si="3"/>
        <v>4755770.68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1577013.4</v>
      </c>
      <c r="G225" s="18">
        <v>611882.19999999995</v>
      </c>
      <c r="H225" s="18">
        <v>59795.83</v>
      </c>
      <c r="I225" s="18">
        <v>98976.44</v>
      </c>
      <c r="J225" s="18">
        <v>20384.61</v>
      </c>
      <c r="K225" s="18">
        <v>3014</v>
      </c>
      <c r="L225" s="19">
        <f>SUM(F225:K225)</f>
        <v>2371066.4799999995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466725.68</v>
      </c>
      <c r="G226" s="18">
        <v>164506.51999999999</v>
      </c>
      <c r="H226" s="18">
        <v>636548.14</v>
      </c>
      <c r="I226" s="18">
        <v>18824.27</v>
      </c>
      <c r="J226" s="18">
        <v>517.33000000000004</v>
      </c>
      <c r="K226" s="18">
        <v>12725.17</v>
      </c>
      <c r="L226" s="19">
        <f>SUM(F226:K226)</f>
        <v>1299847.1099999999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219389.19</v>
      </c>
      <c r="G227" s="18">
        <v>102852.63</v>
      </c>
      <c r="H227" s="18">
        <v>52071.34</v>
      </c>
      <c r="I227" s="18">
        <v>17557.59</v>
      </c>
      <c r="J227" s="18">
        <v>1992</v>
      </c>
      <c r="K227" s="18">
        <v>830.85</v>
      </c>
      <c r="L227" s="19">
        <f>SUM(F227:K227)</f>
        <v>394693.60000000003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149041.63</v>
      </c>
      <c r="G228" s="18">
        <v>33266.15</v>
      </c>
      <c r="H228" s="18">
        <v>38111.199999999997</v>
      </c>
      <c r="I228" s="18">
        <v>10271.08</v>
      </c>
      <c r="J228" s="18">
        <v>7405.98</v>
      </c>
      <c r="K228" s="18">
        <v>10904.78</v>
      </c>
      <c r="L228" s="19">
        <f>SUM(F228:K228)</f>
        <v>249000.81999999998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305335.40000000002</v>
      </c>
      <c r="G230" s="18">
        <v>130709.77</v>
      </c>
      <c r="H230" s="18">
        <v>42801.35</v>
      </c>
      <c r="I230" s="18">
        <v>8090.78</v>
      </c>
      <c r="J230" s="18">
        <v>5305.84</v>
      </c>
      <c r="K230" s="18">
        <v>35</v>
      </c>
      <c r="L230" s="19">
        <f t="shared" ref="L230:L236" si="4">SUM(F230:K230)</f>
        <v>492278.14000000007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84202.89</v>
      </c>
      <c r="G231" s="18">
        <v>51925.31</v>
      </c>
      <c r="H231" s="18">
        <v>25231.22</v>
      </c>
      <c r="I231" s="18">
        <v>24470.01</v>
      </c>
      <c r="J231" s="18">
        <v>1184</v>
      </c>
      <c r="K231" s="18">
        <v>324.45999999999998</v>
      </c>
      <c r="L231" s="19">
        <f t="shared" si="4"/>
        <v>187337.89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223503.12</v>
      </c>
      <c r="G232" s="18">
        <v>80807.91</v>
      </c>
      <c r="H232" s="18">
        <v>129956.48</v>
      </c>
      <c r="I232" s="18">
        <v>6762.3</v>
      </c>
      <c r="J232" s="18">
        <v>74304.66</v>
      </c>
      <c r="K232" s="18">
        <v>2535.98</v>
      </c>
      <c r="L232" s="19">
        <f t="shared" si="4"/>
        <v>517870.44999999995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234084.55</v>
      </c>
      <c r="G233" s="18">
        <v>101265.36</v>
      </c>
      <c r="H233" s="18">
        <v>28703.86</v>
      </c>
      <c r="I233" s="18">
        <v>13545.05</v>
      </c>
      <c r="J233" s="18">
        <v>0</v>
      </c>
      <c r="K233" s="18">
        <v>6275.15</v>
      </c>
      <c r="L233" s="19">
        <f t="shared" si="4"/>
        <v>383873.97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65318.27</v>
      </c>
      <c r="G234" s="18">
        <v>28641.17</v>
      </c>
      <c r="H234" s="18"/>
      <c r="I234" s="18"/>
      <c r="J234" s="18"/>
      <c r="K234" s="18"/>
      <c r="L234" s="19">
        <f t="shared" si="4"/>
        <v>93959.44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237485.75</v>
      </c>
      <c r="G235" s="18">
        <v>105608.99</v>
      </c>
      <c r="H235" s="18">
        <v>236900.28</v>
      </c>
      <c r="I235" s="18">
        <v>192177.81</v>
      </c>
      <c r="J235" s="18">
        <v>21973.7</v>
      </c>
      <c r="K235" s="18">
        <v>82.13</v>
      </c>
      <c r="L235" s="19">
        <f t="shared" si="4"/>
        <v>794228.66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267417.98</v>
      </c>
      <c r="I236" s="18">
        <v>50461.94</v>
      </c>
      <c r="J236" s="18"/>
      <c r="K236" s="18"/>
      <c r="L236" s="19">
        <f t="shared" si="4"/>
        <v>317879.92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3562099.88</v>
      </c>
      <c r="G239" s="41">
        <f t="shared" si="5"/>
        <v>1411466.01</v>
      </c>
      <c r="H239" s="41">
        <f t="shared" si="5"/>
        <v>1517537.6799999997</v>
      </c>
      <c r="I239" s="41">
        <f t="shared" si="5"/>
        <v>441137.26999999996</v>
      </c>
      <c r="J239" s="41">
        <f t="shared" si="5"/>
        <v>133068.12000000002</v>
      </c>
      <c r="K239" s="41">
        <f t="shared" si="5"/>
        <v>36727.519999999997</v>
      </c>
      <c r="L239" s="41">
        <f t="shared" si="5"/>
        <v>7102036.4799999995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456411.16</v>
      </c>
      <c r="I247" s="18"/>
      <c r="J247" s="18">
        <v>18410.5</v>
      </c>
      <c r="K247" s="18"/>
      <c r="L247" s="19">
        <f t="shared" si="6"/>
        <v>474821.66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456411.16</v>
      </c>
      <c r="I248" s="41">
        <f t="shared" si="7"/>
        <v>0</v>
      </c>
      <c r="J248" s="41">
        <f t="shared" si="7"/>
        <v>18410.5</v>
      </c>
      <c r="K248" s="41">
        <f t="shared" si="7"/>
        <v>0</v>
      </c>
      <c r="L248" s="41">
        <f>SUM(F248:K248)</f>
        <v>474821.66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10577416.120000001</v>
      </c>
      <c r="G249" s="41">
        <f t="shared" si="8"/>
        <v>4262050.8499999996</v>
      </c>
      <c r="H249" s="41">
        <f t="shared" si="8"/>
        <v>3556915.04</v>
      </c>
      <c r="I249" s="41">
        <f t="shared" si="8"/>
        <v>1040996.48</v>
      </c>
      <c r="J249" s="41">
        <f t="shared" si="8"/>
        <v>331278.98</v>
      </c>
      <c r="K249" s="41">
        <f t="shared" si="8"/>
        <v>92185.07</v>
      </c>
      <c r="L249" s="41">
        <f t="shared" si="8"/>
        <v>19860842.539999999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1665751.66</v>
      </c>
      <c r="L252" s="19">
        <f>SUM(F252:K252)</f>
        <v>1665751.66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580041.34</v>
      </c>
      <c r="L253" s="19">
        <f>SUM(F253:K253)</f>
        <v>580041.34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300000</v>
      </c>
      <c r="L258" s="19">
        <f t="shared" si="9"/>
        <v>300000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2545793</v>
      </c>
      <c r="L262" s="41">
        <f t="shared" si="9"/>
        <v>2545793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10577416.120000001</v>
      </c>
      <c r="G263" s="42">
        <f t="shared" si="11"/>
        <v>4262050.8499999996</v>
      </c>
      <c r="H263" s="42">
        <f t="shared" si="11"/>
        <v>3556915.04</v>
      </c>
      <c r="I263" s="42">
        <f t="shared" si="11"/>
        <v>1040996.48</v>
      </c>
      <c r="J263" s="42">
        <f t="shared" si="11"/>
        <v>331278.98</v>
      </c>
      <c r="K263" s="42">
        <f t="shared" si="11"/>
        <v>2637978.0699999998</v>
      </c>
      <c r="L263" s="42">
        <f t="shared" si="11"/>
        <v>22406635.539999999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121885.61</v>
      </c>
      <c r="G268" s="18">
        <v>48173.440000000002</v>
      </c>
      <c r="H268" s="18">
        <v>49394.25</v>
      </c>
      <c r="I268" s="18">
        <v>1942.58</v>
      </c>
      <c r="J268" s="18">
        <v>17745.96</v>
      </c>
      <c r="K268" s="18">
        <v>1133.6099999999999</v>
      </c>
      <c r="L268" s="19">
        <f>SUM(F268:K268)</f>
        <v>240275.44999999995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250644.81</v>
      </c>
      <c r="G269" s="18">
        <v>18508.23</v>
      </c>
      <c r="H269" s="18">
        <v>22920.93</v>
      </c>
      <c r="I269" s="18">
        <v>4474.1499999999996</v>
      </c>
      <c r="J269" s="18">
        <v>20361.28</v>
      </c>
      <c r="K269" s="18"/>
      <c r="L269" s="19">
        <f>SUM(F269:K269)</f>
        <v>316909.40000000002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>
        <v>25308.78</v>
      </c>
      <c r="H273" s="18"/>
      <c r="I273" s="18">
        <v>957.47</v>
      </c>
      <c r="J273" s="18"/>
      <c r="K273" s="18"/>
      <c r="L273" s="19">
        <f t="shared" ref="L273:L279" si="12">SUM(F273:K273)</f>
        <v>26266.25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9817.2099999999991</v>
      </c>
      <c r="G274" s="18">
        <v>1517.73</v>
      </c>
      <c r="H274" s="18">
        <v>50054.21</v>
      </c>
      <c r="I274" s="18">
        <v>2295.23</v>
      </c>
      <c r="J274" s="18">
        <v>0</v>
      </c>
      <c r="K274" s="18">
        <v>0</v>
      </c>
      <c r="L274" s="19">
        <f t="shared" si="12"/>
        <v>63684.38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>
        <v>3117.16</v>
      </c>
      <c r="H275" s="18">
        <v>243.64</v>
      </c>
      <c r="I275" s="18"/>
      <c r="J275" s="18">
        <v>945</v>
      </c>
      <c r="K275" s="18"/>
      <c r="L275" s="19">
        <f t="shared" si="12"/>
        <v>4305.7999999999993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>
        <v>214.28</v>
      </c>
      <c r="L276" s="19">
        <f t="shared" si="12"/>
        <v>214.28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382347.63</v>
      </c>
      <c r="G282" s="42">
        <f t="shared" si="13"/>
        <v>96625.34</v>
      </c>
      <c r="H282" s="42">
        <f t="shared" si="13"/>
        <v>122613.02999999998</v>
      </c>
      <c r="I282" s="42">
        <f t="shared" si="13"/>
        <v>9669.43</v>
      </c>
      <c r="J282" s="42">
        <f t="shared" si="13"/>
        <v>39052.239999999998</v>
      </c>
      <c r="K282" s="42">
        <f t="shared" si="13"/>
        <v>1347.8899999999999</v>
      </c>
      <c r="L282" s="41">
        <f t="shared" si="13"/>
        <v>651655.56000000006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64917.16</v>
      </c>
      <c r="G287" s="18">
        <v>19964.25</v>
      </c>
      <c r="H287" s="18">
        <v>17848.39</v>
      </c>
      <c r="I287" s="18">
        <v>3640.21</v>
      </c>
      <c r="J287" s="18">
        <v>10221.93</v>
      </c>
      <c r="K287" s="18">
        <v>499.23</v>
      </c>
      <c r="L287" s="19">
        <f>SUM(F287:K287)</f>
        <v>117091.17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71244.06</v>
      </c>
      <c r="G288" s="18">
        <v>18570.009999999998</v>
      </c>
      <c r="H288" s="18">
        <v>13020.12</v>
      </c>
      <c r="I288" s="18">
        <v>4062.34</v>
      </c>
      <c r="J288" s="18">
        <v>4647.8900000000003</v>
      </c>
      <c r="K288" s="18">
        <v>0</v>
      </c>
      <c r="L288" s="19">
        <f>SUM(F288:K288)</f>
        <v>111544.41999999998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>
        <v>1400</v>
      </c>
      <c r="H290" s="18">
        <v>219.11</v>
      </c>
      <c r="I290" s="18"/>
      <c r="J290" s="18"/>
      <c r="K290" s="18"/>
      <c r="L290" s="19">
        <f>SUM(F290:K290)</f>
        <v>1619.1100000000001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14355.03</v>
      </c>
      <c r="G292" s="18"/>
      <c r="H292" s="18">
        <v>543.07000000000005</v>
      </c>
      <c r="I292" s="18"/>
      <c r="J292" s="18"/>
      <c r="K292" s="18"/>
      <c r="L292" s="19">
        <f t="shared" ref="L292:L298" si="14">SUM(F292:K292)</f>
        <v>14898.1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5568.28</v>
      </c>
      <c r="G293" s="18">
        <v>860.85</v>
      </c>
      <c r="H293" s="18">
        <v>48406.21</v>
      </c>
      <c r="I293" s="18">
        <v>2984.66</v>
      </c>
      <c r="J293" s="18">
        <v>849.49</v>
      </c>
      <c r="K293" s="18">
        <v>0</v>
      </c>
      <c r="L293" s="19">
        <f t="shared" si="14"/>
        <v>58669.49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1109.17</v>
      </c>
      <c r="G294" s="18">
        <v>87.79</v>
      </c>
      <c r="H294" s="18">
        <v>0</v>
      </c>
      <c r="I294" s="18"/>
      <c r="J294" s="18">
        <v>945</v>
      </c>
      <c r="K294" s="18"/>
      <c r="L294" s="19">
        <f t="shared" si="14"/>
        <v>2141.96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1491.41</v>
      </c>
      <c r="I298" s="18"/>
      <c r="J298" s="18"/>
      <c r="K298" s="18"/>
      <c r="L298" s="19">
        <f t="shared" si="14"/>
        <v>1491.41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157193.70000000001</v>
      </c>
      <c r="G301" s="42">
        <f t="shared" si="15"/>
        <v>40882.899999999994</v>
      </c>
      <c r="H301" s="42">
        <f t="shared" si="15"/>
        <v>81528.31</v>
      </c>
      <c r="I301" s="42">
        <f t="shared" si="15"/>
        <v>10687.21</v>
      </c>
      <c r="J301" s="42">
        <f t="shared" si="15"/>
        <v>16664.309999999998</v>
      </c>
      <c r="K301" s="42">
        <f t="shared" si="15"/>
        <v>499.23</v>
      </c>
      <c r="L301" s="41">
        <f t="shared" si="15"/>
        <v>307455.65999999997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34350.67</v>
      </c>
      <c r="G306" s="18">
        <v>20406.37</v>
      </c>
      <c r="H306" s="18">
        <v>1721.52</v>
      </c>
      <c r="I306" s="18">
        <v>1673.34</v>
      </c>
      <c r="J306" s="18">
        <v>13514.08</v>
      </c>
      <c r="K306" s="18">
        <v>351.98</v>
      </c>
      <c r="L306" s="19">
        <f>SUM(F306:K306)</f>
        <v>72017.959999999977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381.24</v>
      </c>
      <c r="G307" s="18">
        <v>27.3</v>
      </c>
      <c r="H307" s="18">
        <v>17218.95</v>
      </c>
      <c r="I307" s="18">
        <v>129.72999999999999</v>
      </c>
      <c r="J307" s="18"/>
      <c r="K307" s="18"/>
      <c r="L307" s="19">
        <f>SUM(F307:K307)</f>
        <v>17757.22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13548.91</v>
      </c>
      <c r="G308" s="18">
        <v>-311.33</v>
      </c>
      <c r="H308" s="18">
        <v>20599.25</v>
      </c>
      <c r="I308" s="18">
        <v>2244.2399999999998</v>
      </c>
      <c r="J308" s="18">
        <v>8365.8700000000008</v>
      </c>
      <c r="K308" s="18">
        <v>160</v>
      </c>
      <c r="L308" s="19">
        <f>SUM(F308:K308)</f>
        <v>44606.94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2500</v>
      </c>
      <c r="I309" s="18"/>
      <c r="J309" s="18"/>
      <c r="K309" s="18"/>
      <c r="L309" s="19">
        <f>SUM(F309:K309)</f>
        <v>2500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19050.189999999999</v>
      </c>
      <c r="G311" s="18"/>
      <c r="H311" s="18">
        <v>720.69</v>
      </c>
      <c r="I311" s="18"/>
      <c r="J311" s="18"/>
      <c r="K311" s="18"/>
      <c r="L311" s="19">
        <f t="shared" ref="L311:L317" si="16">SUM(F311:K311)</f>
        <v>19770.879999999997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7389.52</v>
      </c>
      <c r="G312" s="18">
        <v>1142.4100000000001</v>
      </c>
      <c r="H312" s="18">
        <v>26693.14</v>
      </c>
      <c r="I312" s="18">
        <v>1727.64</v>
      </c>
      <c r="J312" s="18">
        <v>700</v>
      </c>
      <c r="K312" s="18">
        <v>1645</v>
      </c>
      <c r="L312" s="19">
        <f t="shared" si="16"/>
        <v>39297.71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>
        <v>48.67</v>
      </c>
      <c r="H313" s="18">
        <v>7.63</v>
      </c>
      <c r="I313" s="18"/>
      <c r="J313" s="18"/>
      <c r="K313" s="18"/>
      <c r="L313" s="19">
        <f t="shared" si="16"/>
        <v>56.300000000000004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74720.53</v>
      </c>
      <c r="G320" s="42">
        <f t="shared" si="17"/>
        <v>21313.419999999995</v>
      </c>
      <c r="H320" s="42">
        <f t="shared" si="17"/>
        <v>69461.180000000008</v>
      </c>
      <c r="I320" s="42">
        <f t="shared" si="17"/>
        <v>5774.95</v>
      </c>
      <c r="J320" s="42">
        <f t="shared" si="17"/>
        <v>22579.95</v>
      </c>
      <c r="K320" s="42">
        <f t="shared" si="17"/>
        <v>2156.98</v>
      </c>
      <c r="L320" s="41">
        <f t="shared" si="17"/>
        <v>196007.00999999998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>
        <v>1695</v>
      </c>
      <c r="K328" s="18"/>
      <c r="L328" s="19">
        <f t="shared" si="18"/>
        <v>1695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1695</v>
      </c>
      <c r="K329" s="41">
        <f t="shared" si="19"/>
        <v>0</v>
      </c>
      <c r="L329" s="41">
        <f t="shared" si="18"/>
        <v>1695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614261.8600000001</v>
      </c>
      <c r="G330" s="41">
        <f t="shared" si="20"/>
        <v>158821.65999999997</v>
      </c>
      <c r="H330" s="41">
        <f t="shared" si="20"/>
        <v>273602.51999999996</v>
      </c>
      <c r="I330" s="41">
        <f t="shared" si="20"/>
        <v>26131.59</v>
      </c>
      <c r="J330" s="41">
        <f t="shared" si="20"/>
        <v>79991.5</v>
      </c>
      <c r="K330" s="41">
        <f t="shared" si="20"/>
        <v>4004.1</v>
      </c>
      <c r="L330" s="41">
        <f t="shared" si="20"/>
        <v>1156813.23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14234.39</v>
      </c>
      <c r="L336" s="19">
        <f t="shared" ref="L336:L342" si="21">SUM(F336:K336)</f>
        <v>14234.39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14234.39</v>
      </c>
      <c r="L343" s="41">
        <f>SUM(L333:L342)</f>
        <v>14234.39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614261.8600000001</v>
      </c>
      <c r="G344" s="41">
        <f>G330</f>
        <v>158821.65999999997</v>
      </c>
      <c r="H344" s="41">
        <f>H330</f>
        <v>273602.51999999996</v>
      </c>
      <c r="I344" s="41">
        <f>I330</f>
        <v>26131.59</v>
      </c>
      <c r="J344" s="41">
        <f>J330</f>
        <v>79991.5</v>
      </c>
      <c r="K344" s="47">
        <f>K330+K343</f>
        <v>18238.489999999998</v>
      </c>
      <c r="L344" s="41">
        <f>L330+L343</f>
        <v>1171047.6199999999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80269.05</v>
      </c>
      <c r="G350" s="18">
        <v>13520.9</v>
      </c>
      <c r="H350" s="18">
        <v>2315.36</v>
      </c>
      <c r="I350" s="18">
        <v>126617.84</v>
      </c>
      <c r="J350" s="18">
        <v>1699.9</v>
      </c>
      <c r="K350" s="18">
        <v>345.38</v>
      </c>
      <c r="L350" s="13">
        <f>SUM(F350:K350)</f>
        <v>224768.43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49966.239999999998</v>
      </c>
      <c r="G351" s="18">
        <v>8011.6</v>
      </c>
      <c r="H351" s="18">
        <v>1313.26</v>
      </c>
      <c r="I351" s="18">
        <v>71817.06</v>
      </c>
      <c r="J351" s="18">
        <v>964.18</v>
      </c>
      <c r="K351" s="18">
        <v>195.9</v>
      </c>
      <c r="L351" s="19">
        <f>SUM(F351:K351)</f>
        <v>132268.24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78023.820000000007</v>
      </c>
      <c r="G352" s="18">
        <v>11542.27</v>
      </c>
      <c r="H352" s="18">
        <v>1742.7929999999999</v>
      </c>
      <c r="I352" s="18">
        <v>95306.6</v>
      </c>
      <c r="J352" s="18">
        <v>1279.53</v>
      </c>
      <c r="K352" s="18">
        <v>259.97000000000003</v>
      </c>
      <c r="L352" s="19">
        <f>SUM(F352:K352)</f>
        <v>188154.98300000001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208259.11000000002</v>
      </c>
      <c r="G354" s="47">
        <f t="shared" si="22"/>
        <v>33074.770000000004</v>
      </c>
      <c r="H354" s="47">
        <f t="shared" si="22"/>
        <v>5371.4129999999996</v>
      </c>
      <c r="I354" s="47">
        <f t="shared" si="22"/>
        <v>293741.5</v>
      </c>
      <c r="J354" s="47">
        <f t="shared" si="22"/>
        <v>3943.6099999999997</v>
      </c>
      <c r="K354" s="47">
        <f t="shared" si="22"/>
        <v>801.25</v>
      </c>
      <c r="L354" s="47">
        <f t="shared" si="22"/>
        <v>545191.65299999993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120344.92</v>
      </c>
      <c r="G359" s="18">
        <v>68259.09</v>
      </c>
      <c r="H359" s="18">
        <v>90584.9</v>
      </c>
      <c r="I359" s="56">
        <f>SUM(F359:H359)</f>
        <v>279188.91000000003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6272.92</v>
      </c>
      <c r="G360" s="63">
        <v>3557.97</v>
      </c>
      <c r="H360" s="63">
        <v>4721.7</v>
      </c>
      <c r="I360" s="56">
        <f>SUM(F360:H360)</f>
        <v>14552.59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126617.84</v>
      </c>
      <c r="G361" s="47">
        <f>SUM(G359:G360)</f>
        <v>71817.06</v>
      </c>
      <c r="H361" s="47">
        <f>SUM(H359:H360)</f>
        <v>95306.599999999991</v>
      </c>
      <c r="I361" s="47">
        <f>SUM(I359:I360)</f>
        <v>293741.50000000006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749155.61</v>
      </c>
      <c r="I370" s="18"/>
      <c r="J370" s="18"/>
      <c r="K370" s="18"/>
      <c r="L370" s="13">
        <f t="shared" si="23"/>
        <v>749155.61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749155.61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749155.61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250000</v>
      </c>
      <c r="H381" s="18">
        <v>1338.58</v>
      </c>
      <c r="I381" s="18"/>
      <c r="J381" s="24" t="s">
        <v>312</v>
      </c>
      <c r="K381" s="24" t="s">
        <v>312</v>
      </c>
      <c r="L381" s="56">
        <f t="shared" si="25"/>
        <v>251338.58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255.32</v>
      </c>
      <c r="I384" s="18">
        <v>3945.91</v>
      </c>
      <c r="J384" s="24" t="s">
        <v>312</v>
      </c>
      <c r="K384" s="24" t="s">
        <v>312</v>
      </c>
      <c r="L384" s="56">
        <f t="shared" si="25"/>
        <v>4201.2299999999996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250000</v>
      </c>
      <c r="H385" s="139">
        <f>SUM(H379:H384)</f>
        <v>1593.8999999999999</v>
      </c>
      <c r="I385" s="65">
        <f>SUM(I379:I384)</f>
        <v>3945.91</v>
      </c>
      <c r="J385" s="45" t="s">
        <v>312</v>
      </c>
      <c r="K385" s="45" t="s">
        <v>312</v>
      </c>
      <c r="L385" s="47">
        <f>SUM(L379:L384)</f>
        <v>255539.81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64.05</v>
      </c>
      <c r="I388" s="18"/>
      <c r="J388" s="24" t="s">
        <v>312</v>
      </c>
      <c r="K388" s="24" t="s">
        <v>312</v>
      </c>
      <c r="L388" s="56">
        <f t="shared" si="26"/>
        <v>50064.05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64.05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50064.05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300000</v>
      </c>
      <c r="H400" s="47">
        <f>H385+H393+H399</f>
        <v>1657.9499999999998</v>
      </c>
      <c r="I400" s="47">
        <f>I385+I393+I399</f>
        <v>3945.91</v>
      </c>
      <c r="J400" s="24" t="s">
        <v>312</v>
      </c>
      <c r="K400" s="24" t="s">
        <v>312</v>
      </c>
      <c r="L400" s="47">
        <f>L385+L393+L399</f>
        <v>305603.86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452081.84</v>
      </c>
      <c r="L407" s="56">
        <f t="shared" si="27"/>
        <v>452081.84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8677.61</v>
      </c>
      <c r="I410" s="18"/>
      <c r="J410" s="18"/>
      <c r="K410" s="18">
        <v>102405.26</v>
      </c>
      <c r="L410" s="56">
        <f t="shared" si="27"/>
        <v>111082.87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8677.61</v>
      </c>
      <c r="I411" s="139">
        <f t="shared" si="28"/>
        <v>0</v>
      </c>
      <c r="J411" s="139">
        <f t="shared" si="28"/>
        <v>0</v>
      </c>
      <c r="K411" s="139">
        <f t="shared" si="28"/>
        <v>554487.1</v>
      </c>
      <c r="L411" s="47">
        <f t="shared" si="28"/>
        <v>563164.71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8677.61</v>
      </c>
      <c r="I426" s="47">
        <f t="shared" si="32"/>
        <v>0</v>
      </c>
      <c r="J426" s="47">
        <f t="shared" si="32"/>
        <v>0</v>
      </c>
      <c r="K426" s="47">
        <f t="shared" si="32"/>
        <v>554487.1</v>
      </c>
      <c r="L426" s="47">
        <f t="shared" si="32"/>
        <v>563164.71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936456.9</v>
      </c>
      <c r="H431" s="18"/>
      <c r="I431" s="56">
        <f t="shared" ref="I431:I437" si="33">SUM(F431:H431)</f>
        <v>936456.9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936456.9</v>
      </c>
      <c r="H438" s="13">
        <f>SUM(H431:H437)</f>
        <v>0</v>
      </c>
      <c r="I438" s="13">
        <f>SUM(I431:I437)</f>
        <v>936456.9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102405.26</v>
      </c>
      <c r="H440" s="18"/>
      <c r="I440" s="56">
        <f>SUM(F440:H440)</f>
        <v>102405.26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>
        <v>460759.45</v>
      </c>
      <c r="H442" s="18"/>
      <c r="I442" s="56">
        <f>SUM(F442:H442)</f>
        <v>460759.45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563164.71</v>
      </c>
      <c r="H444" s="72">
        <f>SUM(H440:H443)</f>
        <v>0</v>
      </c>
      <c r="I444" s="72">
        <f>SUM(I440:I443)</f>
        <v>563164.71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373292.19</v>
      </c>
      <c r="H449" s="18"/>
      <c r="I449" s="56">
        <f>SUM(F449:H449)</f>
        <v>373292.19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373292.19</v>
      </c>
      <c r="H450" s="83">
        <f>SUM(H446:H449)</f>
        <v>0</v>
      </c>
      <c r="I450" s="83">
        <f>SUM(I446:I449)</f>
        <v>373292.19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936456.89999999991</v>
      </c>
      <c r="H451" s="42">
        <f>H444+H450</f>
        <v>0</v>
      </c>
      <c r="I451" s="42">
        <f>I444+I450</f>
        <v>936456.89999999991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1414163.34</v>
      </c>
      <c r="G455" s="18">
        <v>60246.64</v>
      </c>
      <c r="H455" s="18">
        <v>0</v>
      </c>
      <c r="I455" s="18">
        <v>786760.39</v>
      </c>
      <c r="J455" s="18">
        <v>630853.04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22219845.16</v>
      </c>
      <c r="G458" s="18">
        <v>589046.15</v>
      </c>
      <c r="H458" s="18">
        <v>1237766.74</v>
      </c>
      <c r="I458" s="18">
        <v>28932.560000000001</v>
      </c>
      <c r="J458" s="18">
        <v>305603.86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22219845.16</v>
      </c>
      <c r="G460" s="53">
        <f>SUM(G458:G459)</f>
        <v>589046.15</v>
      </c>
      <c r="H460" s="53">
        <f>SUM(H458:H459)</f>
        <v>1237766.74</v>
      </c>
      <c r="I460" s="53">
        <f>SUM(I458:I459)</f>
        <v>28932.560000000001</v>
      </c>
      <c r="J460" s="53">
        <f>SUM(J458:J459)</f>
        <v>305603.86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22406635.539999999</v>
      </c>
      <c r="G462" s="18">
        <v>545191.65</v>
      </c>
      <c r="H462" s="18">
        <v>1171047.6200000001</v>
      </c>
      <c r="I462" s="18">
        <v>749155.61</v>
      </c>
      <c r="J462" s="18">
        <v>563164.71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22406635.539999999</v>
      </c>
      <c r="G464" s="53">
        <f>SUM(G462:G463)</f>
        <v>545191.65</v>
      </c>
      <c r="H464" s="53">
        <f>SUM(H462:H463)</f>
        <v>1171047.6200000001</v>
      </c>
      <c r="I464" s="53">
        <f>SUM(I462:I463)</f>
        <v>749155.61</v>
      </c>
      <c r="J464" s="53">
        <f>SUM(J462:J463)</f>
        <v>563164.71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1227372.9600000009</v>
      </c>
      <c r="G466" s="53">
        <f>(G455+G460)- G464</f>
        <v>104101.14000000001</v>
      </c>
      <c r="H466" s="53">
        <f>(H455+H460)- H464</f>
        <v>66719.119999999879</v>
      </c>
      <c r="I466" s="53">
        <f>(I455+I460)- I464</f>
        <v>66537.340000000084</v>
      </c>
      <c r="J466" s="53">
        <f>(J455+J460)- J464</f>
        <v>373292.19000000006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13</v>
      </c>
      <c r="H480" s="154">
        <v>20</v>
      </c>
      <c r="I480" s="154">
        <v>10</v>
      </c>
      <c r="J480" s="154">
        <v>15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 t="s">
        <v>899</v>
      </c>
      <c r="I481" s="155" t="s">
        <v>901</v>
      </c>
      <c r="J481" s="155" t="s">
        <v>903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 t="s">
        <v>900</v>
      </c>
      <c r="I482" s="155" t="s">
        <v>902</v>
      </c>
      <c r="J482" s="155" t="s">
        <v>904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1150000</v>
      </c>
      <c r="G483" s="18">
        <v>7005000</v>
      </c>
      <c r="H483" s="18">
        <v>17000000</v>
      </c>
      <c r="I483" s="18">
        <v>8625000</v>
      </c>
      <c r="J483" s="18">
        <v>3396240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7.1</v>
      </c>
      <c r="G484" s="18">
        <v>3.2</v>
      </c>
      <c r="H484" s="18">
        <v>4</v>
      </c>
      <c r="I484" s="18">
        <v>3.19</v>
      </c>
      <c r="J484" s="18">
        <v>1.4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55000</v>
      </c>
      <c r="G485" s="18">
        <v>2395000</v>
      </c>
      <c r="H485" s="18">
        <v>11050000</v>
      </c>
      <c r="I485" s="18">
        <v>0</v>
      </c>
      <c r="J485" s="18">
        <v>3396240</v>
      </c>
      <c r="K485" s="53">
        <f>SUM(F485:J485)</f>
        <v>16896240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8625000</v>
      </c>
      <c r="J486" s="18">
        <v>0</v>
      </c>
      <c r="K486" s="53">
        <f t="shared" ref="K486:K493" si="34">SUM(F486:J486)</f>
        <v>8625000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55000</v>
      </c>
      <c r="G487" s="18">
        <v>530000</v>
      </c>
      <c r="H487" s="18">
        <v>10200000</v>
      </c>
      <c r="I487" s="18">
        <v>0</v>
      </c>
      <c r="J487" s="18">
        <v>230751.66</v>
      </c>
      <c r="K487" s="53">
        <f t="shared" si="34"/>
        <v>11015751.66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1865000</v>
      </c>
      <c r="H488" s="205">
        <v>850000</v>
      </c>
      <c r="I488" s="205">
        <v>8625000</v>
      </c>
      <c r="J488" s="205">
        <v>3165488.34</v>
      </c>
      <c r="K488" s="206">
        <f t="shared" si="34"/>
        <v>14505488.34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175131</v>
      </c>
      <c r="H489" s="18">
        <v>17850</v>
      </c>
      <c r="I489" s="18">
        <v>1581498.83</v>
      </c>
      <c r="J489" s="18">
        <v>336138.25</v>
      </c>
      <c r="K489" s="53">
        <f t="shared" si="34"/>
        <v>2110618.08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2040131</v>
      </c>
      <c r="H490" s="42">
        <f>SUM(H488:H489)</f>
        <v>867850</v>
      </c>
      <c r="I490" s="42">
        <f>SUM(I488:I489)</f>
        <v>10206498.83</v>
      </c>
      <c r="J490" s="42">
        <f>SUM(J488:J489)</f>
        <v>3501626.59</v>
      </c>
      <c r="K490" s="42">
        <f t="shared" si="34"/>
        <v>16616106.42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520000</v>
      </c>
      <c r="H491" s="205">
        <v>850000</v>
      </c>
      <c r="I491" s="205">
        <v>95000</v>
      </c>
      <c r="J491" s="205">
        <v>212727.66</v>
      </c>
      <c r="K491" s="206">
        <f t="shared" si="34"/>
        <v>1677727.66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70807.5</v>
      </c>
      <c r="H492" s="18">
        <v>17850</v>
      </c>
      <c r="I492" s="18">
        <v>228736.25</v>
      </c>
      <c r="J492" s="18">
        <v>44316.84</v>
      </c>
      <c r="K492" s="53">
        <f t="shared" si="34"/>
        <v>361710.58999999997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590807.5</v>
      </c>
      <c r="H493" s="42">
        <f>SUM(H491:H492)</f>
        <v>867850</v>
      </c>
      <c r="I493" s="42">
        <f>SUM(I491:I492)</f>
        <v>323736.25</v>
      </c>
      <c r="J493" s="42">
        <f>SUM(J491:J492)</f>
        <v>257044.5</v>
      </c>
      <c r="K493" s="42">
        <f t="shared" si="34"/>
        <v>2039438.25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905591.73</v>
      </c>
      <c r="G511" s="18">
        <v>291553.14</v>
      </c>
      <c r="H511" s="18">
        <v>101290.88</v>
      </c>
      <c r="I511" s="18">
        <v>12972.29</v>
      </c>
      <c r="J511" s="18">
        <v>445.4</v>
      </c>
      <c r="K511" s="18">
        <v>36992.449999999997</v>
      </c>
      <c r="L511" s="88">
        <f>SUM(F511:K511)</f>
        <v>1348845.89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377683.19</v>
      </c>
      <c r="G512" s="18">
        <v>148359.1</v>
      </c>
      <c r="H512" s="18">
        <v>124790.3</v>
      </c>
      <c r="I512" s="18">
        <v>1543.52</v>
      </c>
      <c r="J512" s="18"/>
      <c r="K512" s="18">
        <v>5801.9</v>
      </c>
      <c r="L512" s="88">
        <f>SUM(F512:K512)</f>
        <v>658178.01000000013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435710.98</v>
      </c>
      <c r="G513" s="18">
        <v>151567.14000000001</v>
      </c>
      <c r="H513" s="18">
        <v>636139.98</v>
      </c>
      <c r="I513" s="18">
        <v>18839.47</v>
      </c>
      <c r="J513" s="18">
        <v>517.33000000000004</v>
      </c>
      <c r="K513" s="18">
        <v>12725.17</v>
      </c>
      <c r="L513" s="88">
        <f>SUM(F513:K513)</f>
        <v>1255500.07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1718985.9</v>
      </c>
      <c r="G514" s="108">
        <f t="shared" ref="G514:L514" si="35">SUM(G511:G513)</f>
        <v>591479.38</v>
      </c>
      <c r="H514" s="108">
        <f t="shared" si="35"/>
        <v>862221.15999999992</v>
      </c>
      <c r="I514" s="108">
        <f t="shared" si="35"/>
        <v>33355.279999999999</v>
      </c>
      <c r="J514" s="108">
        <f t="shared" si="35"/>
        <v>962.73</v>
      </c>
      <c r="K514" s="108">
        <f t="shared" si="35"/>
        <v>55519.519999999997</v>
      </c>
      <c r="L514" s="89">
        <f t="shared" si="35"/>
        <v>3262523.9699999997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169409.84</v>
      </c>
      <c r="G516" s="18">
        <v>53811.61</v>
      </c>
      <c r="H516" s="18">
        <v>71491.05</v>
      </c>
      <c r="I516" s="18">
        <v>3907.66</v>
      </c>
      <c r="J516" s="18">
        <v>669.01</v>
      </c>
      <c r="K516" s="18"/>
      <c r="L516" s="88">
        <f>SUM(F516:K516)</f>
        <v>299289.17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96088.48</v>
      </c>
      <c r="G517" s="18">
        <v>30521.7</v>
      </c>
      <c r="H517" s="18">
        <v>32139.63</v>
      </c>
      <c r="I517" s="18">
        <v>2216.41</v>
      </c>
      <c r="J517" s="18">
        <v>379.46</v>
      </c>
      <c r="K517" s="18"/>
      <c r="L517" s="88">
        <f>SUM(F517:K517)</f>
        <v>161345.68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127516.59</v>
      </c>
      <c r="G518" s="18">
        <v>40504.58</v>
      </c>
      <c r="H518" s="18">
        <v>37922.47</v>
      </c>
      <c r="I518" s="18">
        <v>2941.34</v>
      </c>
      <c r="J518" s="18">
        <v>503.57</v>
      </c>
      <c r="K518" s="18"/>
      <c r="L518" s="88">
        <f>SUM(F518:K518)</f>
        <v>209388.55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393014.91000000003</v>
      </c>
      <c r="G519" s="89">
        <f t="shared" ref="G519:L519" si="36">SUM(G516:G518)</f>
        <v>124837.89</v>
      </c>
      <c r="H519" s="89">
        <f t="shared" si="36"/>
        <v>141553.15000000002</v>
      </c>
      <c r="I519" s="89">
        <f t="shared" si="36"/>
        <v>9065.41</v>
      </c>
      <c r="J519" s="89">
        <f t="shared" si="36"/>
        <v>1552.04</v>
      </c>
      <c r="K519" s="89">
        <f t="shared" si="36"/>
        <v>0</v>
      </c>
      <c r="L519" s="89">
        <f t="shared" si="36"/>
        <v>670023.39999999991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83503.63</v>
      </c>
      <c r="G521" s="18">
        <v>27681.88</v>
      </c>
      <c r="H521" s="18"/>
      <c r="I521" s="18"/>
      <c r="J521" s="18"/>
      <c r="K521" s="18"/>
      <c r="L521" s="88">
        <f>SUM(F521:K521)</f>
        <v>111185.51000000001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47362.87</v>
      </c>
      <c r="G522" s="18">
        <v>15701.04</v>
      </c>
      <c r="H522" s="18"/>
      <c r="I522" s="18"/>
      <c r="J522" s="18"/>
      <c r="K522" s="18"/>
      <c r="L522" s="88">
        <f>SUM(F522:K522)</f>
        <v>63063.91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62854.07</v>
      </c>
      <c r="G523" s="18">
        <v>20836.45</v>
      </c>
      <c r="H523" s="18"/>
      <c r="I523" s="18"/>
      <c r="J523" s="18"/>
      <c r="K523" s="18"/>
      <c r="L523" s="88">
        <f>SUM(F523:K523)</f>
        <v>83690.52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193720.57</v>
      </c>
      <c r="G524" s="89">
        <f t="shared" ref="G524:L524" si="37">SUM(G521:G523)</f>
        <v>64219.369999999995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257939.94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1362.12</v>
      </c>
      <c r="I526" s="18"/>
      <c r="J526" s="18"/>
      <c r="K526" s="18"/>
      <c r="L526" s="88">
        <f>SUM(F526:K526)</f>
        <v>1362.12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772.59</v>
      </c>
      <c r="I527" s="18"/>
      <c r="J527" s="18"/>
      <c r="K527" s="18"/>
      <c r="L527" s="88">
        <f>SUM(F527:K527)</f>
        <v>772.59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1025.29</v>
      </c>
      <c r="I528" s="18"/>
      <c r="J528" s="18"/>
      <c r="K528" s="18"/>
      <c r="L528" s="88">
        <f>SUM(F528:K528)</f>
        <v>1025.29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3160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3160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49913.27</v>
      </c>
      <c r="I531" s="18"/>
      <c r="J531" s="18"/>
      <c r="K531" s="18"/>
      <c r="L531" s="88">
        <f>SUM(F531:K531)</f>
        <v>49913.27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28310.58</v>
      </c>
      <c r="I532" s="18"/>
      <c r="J532" s="18"/>
      <c r="K532" s="18"/>
      <c r="L532" s="88">
        <f>SUM(F532:K532)</f>
        <v>28310.58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37570.25</v>
      </c>
      <c r="I533" s="18"/>
      <c r="J533" s="18"/>
      <c r="K533" s="18"/>
      <c r="L533" s="88">
        <f>SUM(F533:K533)</f>
        <v>37570.25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115794.1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115794.1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2305721.38</v>
      </c>
      <c r="G535" s="89">
        <f t="shared" ref="G535:L535" si="40">G514+G519+G524+G529+G534</f>
        <v>780536.64</v>
      </c>
      <c r="H535" s="89">
        <f t="shared" si="40"/>
        <v>1122728.4099999999</v>
      </c>
      <c r="I535" s="89">
        <f t="shared" si="40"/>
        <v>42420.69</v>
      </c>
      <c r="J535" s="89">
        <f t="shared" si="40"/>
        <v>2514.77</v>
      </c>
      <c r="K535" s="89">
        <f t="shared" si="40"/>
        <v>55519.519999999997</v>
      </c>
      <c r="L535" s="89">
        <f t="shared" si="40"/>
        <v>4309441.4099999992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1348845.89</v>
      </c>
      <c r="G539" s="87">
        <f>L516</f>
        <v>299289.17</v>
      </c>
      <c r="H539" s="87">
        <f>L521</f>
        <v>111185.51000000001</v>
      </c>
      <c r="I539" s="87">
        <f>L526</f>
        <v>1362.12</v>
      </c>
      <c r="J539" s="87">
        <f>L531</f>
        <v>49913.27</v>
      </c>
      <c r="K539" s="87">
        <f>SUM(F539:J539)</f>
        <v>1810595.96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658178.01000000013</v>
      </c>
      <c r="G540" s="87">
        <f>L517</f>
        <v>161345.68</v>
      </c>
      <c r="H540" s="87">
        <f>L522</f>
        <v>63063.91</v>
      </c>
      <c r="I540" s="87">
        <f>L527</f>
        <v>772.59</v>
      </c>
      <c r="J540" s="87">
        <f>L532</f>
        <v>28310.58</v>
      </c>
      <c r="K540" s="87">
        <f>SUM(F540:J540)</f>
        <v>911670.77000000014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1255500.07</v>
      </c>
      <c r="G541" s="87">
        <f>L518</f>
        <v>209388.55</v>
      </c>
      <c r="H541" s="87">
        <f>L523</f>
        <v>83690.52</v>
      </c>
      <c r="I541" s="87">
        <f>L528</f>
        <v>1025.29</v>
      </c>
      <c r="J541" s="87">
        <f>L533</f>
        <v>37570.25</v>
      </c>
      <c r="K541" s="87">
        <f>SUM(F541:J541)</f>
        <v>1587174.6800000002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3262523.9699999997</v>
      </c>
      <c r="G542" s="89">
        <f t="shared" si="41"/>
        <v>670023.39999999991</v>
      </c>
      <c r="H542" s="89">
        <f t="shared" si="41"/>
        <v>257939.94</v>
      </c>
      <c r="I542" s="89">
        <f t="shared" si="41"/>
        <v>3160</v>
      </c>
      <c r="J542" s="89">
        <f t="shared" si="41"/>
        <v>115794.1</v>
      </c>
      <c r="K542" s="89">
        <f t="shared" si="41"/>
        <v>4309441.41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126444.26</v>
      </c>
      <c r="G547" s="18">
        <v>48542.54</v>
      </c>
      <c r="H547" s="18">
        <v>68401.36</v>
      </c>
      <c r="I547" s="18">
        <v>1177.96</v>
      </c>
      <c r="J547" s="18">
        <v>2445.2800000000002</v>
      </c>
      <c r="K547" s="18"/>
      <c r="L547" s="88">
        <f>SUM(F547:K547)</f>
        <v>247011.39999999997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58397.690999999999</v>
      </c>
      <c r="G548" s="18">
        <v>19075.45</v>
      </c>
      <c r="H548" s="18">
        <v>48821.56</v>
      </c>
      <c r="I548" s="18">
        <v>2087.92</v>
      </c>
      <c r="J548" s="18">
        <v>2408.2399999999998</v>
      </c>
      <c r="K548" s="18"/>
      <c r="L548" s="88">
        <f>SUM(F548:K548)</f>
        <v>130790.861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3390.58</v>
      </c>
      <c r="G549" s="18">
        <v>261.42</v>
      </c>
      <c r="H549" s="18">
        <v>6687.4</v>
      </c>
      <c r="I549" s="18">
        <v>191.66</v>
      </c>
      <c r="J549" s="18">
        <v>397.82</v>
      </c>
      <c r="K549" s="18"/>
      <c r="L549" s="88">
        <f>SUM(F549:K549)</f>
        <v>10928.88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188232.53099999999</v>
      </c>
      <c r="G550" s="108">
        <f t="shared" si="42"/>
        <v>67879.41</v>
      </c>
      <c r="H550" s="108">
        <f t="shared" si="42"/>
        <v>123910.31999999999</v>
      </c>
      <c r="I550" s="108">
        <f t="shared" si="42"/>
        <v>3457.54</v>
      </c>
      <c r="J550" s="108">
        <f t="shared" si="42"/>
        <v>5251.34</v>
      </c>
      <c r="K550" s="108">
        <f t="shared" si="42"/>
        <v>0</v>
      </c>
      <c r="L550" s="89">
        <f t="shared" si="42"/>
        <v>388731.14099999995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20329.46</v>
      </c>
      <c r="G552" s="18">
        <v>7281.79</v>
      </c>
      <c r="H552" s="18">
        <v>63.64</v>
      </c>
      <c r="I552" s="18"/>
      <c r="J552" s="18"/>
      <c r="K552" s="18"/>
      <c r="L552" s="88">
        <f>SUM(F552:K552)</f>
        <v>27674.89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11530.78</v>
      </c>
      <c r="G553" s="18">
        <v>4130.2</v>
      </c>
      <c r="H553" s="18">
        <v>36.090000000000003</v>
      </c>
      <c r="I553" s="18"/>
      <c r="J553" s="18"/>
      <c r="K553" s="18"/>
      <c r="L553" s="88">
        <f>SUM(F553:K553)</f>
        <v>15697.07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15302.2</v>
      </c>
      <c r="G554" s="18">
        <v>5481.07</v>
      </c>
      <c r="H554" s="18">
        <v>47.9</v>
      </c>
      <c r="I554" s="18"/>
      <c r="J554" s="18"/>
      <c r="K554" s="18"/>
      <c r="L554" s="88">
        <f>SUM(F554:K554)</f>
        <v>20831.170000000002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47162.44</v>
      </c>
      <c r="G555" s="89">
        <f t="shared" si="43"/>
        <v>16893.059999999998</v>
      </c>
      <c r="H555" s="89">
        <f t="shared" si="43"/>
        <v>147.63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64203.130000000005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20874.55</v>
      </c>
      <c r="G557" s="18">
        <v>9908.6</v>
      </c>
      <c r="H557" s="18">
        <v>542.25400000000002</v>
      </c>
      <c r="I557" s="18">
        <v>88.53</v>
      </c>
      <c r="J557" s="18"/>
      <c r="K557" s="18"/>
      <c r="L557" s="88">
        <f>SUM(F557:K557)</f>
        <v>31413.934000000001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12979.95</v>
      </c>
      <c r="G558" s="18">
        <v>5890.75</v>
      </c>
      <c r="H558" s="18">
        <v>307.56</v>
      </c>
      <c r="I558" s="18">
        <v>50.21</v>
      </c>
      <c r="J558" s="18"/>
      <c r="K558" s="18"/>
      <c r="L558" s="88">
        <f>SUM(F558:K558)</f>
        <v>19228.47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15712.5</v>
      </c>
      <c r="G559" s="18">
        <v>7458.31</v>
      </c>
      <c r="H559" s="18">
        <v>408.16</v>
      </c>
      <c r="I559" s="18">
        <v>66.63</v>
      </c>
      <c r="J559" s="18"/>
      <c r="K559" s="18"/>
      <c r="L559" s="88">
        <f>SUM(F559:K559)</f>
        <v>23645.600000000002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49567</v>
      </c>
      <c r="G560" s="194">
        <f t="shared" ref="G560:L560" si="44">SUM(G557:G559)</f>
        <v>23257.66</v>
      </c>
      <c r="H560" s="194">
        <f t="shared" si="44"/>
        <v>1257.9740000000002</v>
      </c>
      <c r="I560" s="194">
        <f t="shared" si="44"/>
        <v>205.37</v>
      </c>
      <c r="J560" s="194">
        <f t="shared" si="44"/>
        <v>0</v>
      </c>
      <c r="K560" s="194">
        <f t="shared" si="44"/>
        <v>0</v>
      </c>
      <c r="L560" s="194">
        <f t="shared" si="44"/>
        <v>74288.004000000001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284961.97100000002</v>
      </c>
      <c r="G561" s="89">
        <f t="shared" ref="G561:L561" si="45">G550+G555+G560</f>
        <v>108030.13</v>
      </c>
      <c r="H561" s="89">
        <f t="shared" si="45"/>
        <v>125315.924</v>
      </c>
      <c r="I561" s="89">
        <f t="shared" si="45"/>
        <v>3662.91</v>
      </c>
      <c r="J561" s="89">
        <f t="shared" si="45"/>
        <v>5251.34</v>
      </c>
      <c r="K561" s="89">
        <f t="shared" si="45"/>
        <v>0</v>
      </c>
      <c r="L561" s="89">
        <f t="shared" si="45"/>
        <v>527222.27499999991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45896.83</v>
      </c>
      <c r="I565" s="87">
        <f>SUM(F565:H565)</f>
        <v>45896.83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32841.339999999997</v>
      </c>
      <c r="I569" s="87">
        <f t="shared" si="46"/>
        <v>32841.339999999997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v>24095.19</v>
      </c>
      <c r="H572" s="18">
        <v>395940.78</v>
      </c>
      <c r="I572" s="87">
        <f t="shared" si="46"/>
        <v>420035.97000000003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66875.37</v>
      </c>
      <c r="I573" s="87">
        <f t="shared" si="46"/>
        <v>66875.37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49179.45</v>
      </c>
      <c r="I574" s="87">
        <f t="shared" si="46"/>
        <v>49179.45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275914.61</v>
      </c>
      <c r="I581" s="18">
        <v>156497.49</v>
      </c>
      <c r="J581" s="18">
        <v>207683.87</v>
      </c>
      <c r="K581" s="104">
        <f t="shared" ref="K581:K587" si="47">SUM(H581:J581)</f>
        <v>640095.97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49913.27</v>
      </c>
      <c r="I582" s="18">
        <v>28310.58</v>
      </c>
      <c r="J582" s="18">
        <v>37570.25</v>
      </c>
      <c r="K582" s="104">
        <f t="shared" si="47"/>
        <v>115794.1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34407.980000000003</v>
      </c>
      <c r="K583" s="104">
        <f t="shared" si="47"/>
        <v>34407.980000000003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14130.14</v>
      </c>
      <c r="J584" s="18">
        <v>35415.31</v>
      </c>
      <c r="K584" s="104">
        <f t="shared" si="47"/>
        <v>49545.45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8746.15</v>
      </c>
      <c r="I585" s="18">
        <v>3779.31</v>
      </c>
      <c r="J585" s="18">
        <v>2802.51</v>
      </c>
      <c r="K585" s="104">
        <f t="shared" si="47"/>
        <v>15327.97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334574.03000000003</v>
      </c>
      <c r="I588" s="108">
        <f>SUM(I581:I587)</f>
        <v>202717.52000000002</v>
      </c>
      <c r="J588" s="108">
        <f>SUM(J581:J587)</f>
        <v>317879.92</v>
      </c>
      <c r="K588" s="108">
        <f>SUM(K581:K587)</f>
        <v>855171.46999999986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124832.48</v>
      </c>
      <c r="I594" s="18">
        <v>110684.43</v>
      </c>
      <c r="J594" s="18">
        <v>155648.07</v>
      </c>
      <c r="K594" s="104">
        <f>SUM(H594:J594)</f>
        <v>391164.98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124832.48</v>
      </c>
      <c r="I595" s="108">
        <f>SUM(I592:I594)</f>
        <v>110684.43</v>
      </c>
      <c r="J595" s="108">
        <f>SUM(J592:J594)</f>
        <v>155648.07</v>
      </c>
      <c r="K595" s="108">
        <f>SUM(K592:K594)</f>
        <v>391164.98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16869.34</v>
      </c>
      <c r="G601" s="18">
        <v>2177.08</v>
      </c>
      <c r="H601" s="18"/>
      <c r="I601" s="18"/>
      <c r="J601" s="18"/>
      <c r="K601" s="18"/>
      <c r="L601" s="88">
        <f>SUM(F601:K601)</f>
        <v>19046.419999999998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13088.21</v>
      </c>
      <c r="G602" s="18">
        <v>1790.82</v>
      </c>
      <c r="H602" s="18"/>
      <c r="I602" s="18"/>
      <c r="J602" s="18"/>
      <c r="K602" s="18"/>
      <c r="L602" s="88">
        <f>SUM(F602:K602)</f>
        <v>14879.029999999999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23850.41</v>
      </c>
      <c r="G603" s="18">
        <v>4852.1000000000004</v>
      </c>
      <c r="H603" s="18"/>
      <c r="I603" s="18"/>
      <c r="J603" s="18"/>
      <c r="K603" s="18"/>
      <c r="L603" s="88">
        <f>SUM(F603:K603)</f>
        <v>28702.510000000002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53807.96</v>
      </c>
      <c r="G604" s="108">
        <f t="shared" si="48"/>
        <v>8820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62627.96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1758688.69</v>
      </c>
      <c r="H607" s="109">
        <f>SUM(F44)</f>
        <v>1758688.69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114654.41000000002</v>
      </c>
      <c r="H608" s="109">
        <f>SUM(G44)</f>
        <v>114654.41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435634.57</v>
      </c>
      <c r="H609" s="109">
        <f>SUM(H44)</f>
        <v>435634.57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167150.16999999998</v>
      </c>
      <c r="H610" s="109">
        <f>SUM(I44)</f>
        <v>167150.16999999998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936456.9</v>
      </c>
      <c r="H611" s="109">
        <f>SUM(J44)</f>
        <v>936456.89999999991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1227372.96</v>
      </c>
      <c r="H612" s="109">
        <f>F466</f>
        <v>1227372.9600000009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104101.14</v>
      </c>
      <c r="H613" s="109">
        <f>G466</f>
        <v>104101.14000000001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66719.12</v>
      </c>
      <c r="H614" s="109">
        <f>H466</f>
        <v>66719.119999999879</v>
      </c>
      <c r="I614" s="121" t="s">
        <v>110</v>
      </c>
      <c r="J614" s="109">
        <f t="shared" si="49"/>
        <v>1.1641532182693481E-10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66537.34</v>
      </c>
      <c r="H615" s="109">
        <f>I466</f>
        <v>66537.340000000084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373292.19</v>
      </c>
      <c r="H616" s="109">
        <f>J466</f>
        <v>373292.19000000006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22219845.159999996</v>
      </c>
      <c r="H617" s="104">
        <f>SUM(F458)</f>
        <v>22219845.16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589046.15</v>
      </c>
      <c r="H618" s="104">
        <f>SUM(G458)</f>
        <v>589046.15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1237766.7399999998</v>
      </c>
      <c r="H619" s="104">
        <f>SUM(H458)</f>
        <v>1237766.74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28932.560000000001</v>
      </c>
      <c r="H620" s="104">
        <f>SUM(I458)</f>
        <v>28932.560000000001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305603.86</v>
      </c>
      <c r="H621" s="104">
        <f>SUM(J458)</f>
        <v>305603.86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22406635.539999999</v>
      </c>
      <c r="H622" s="104">
        <f>SUM(F462)</f>
        <v>22406635.539999999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1171047.6199999999</v>
      </c>
      <c r="H623" s="104">
        <f>SUM(H462)</f>
        <v>1171047.6200000001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293741.5</v>
      </c>
      <c r="H624" s="104">
        <f>I361</f>
        <v>293741.50000000006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545191.65299999993</v>
      </c>
      <c r="H625" s="104">
        <f>SUM(G462)</f>
        <v>545191.65</v>
      </c>
      <c r="I625" s="140" t="s">
        <v>123</v>
      </c>
      <c r="J625" s="109">
        <f t="shared" si="49"/>
        <v>2.9999999096617103E-3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749155.61</v>
      </c>
      <c r="H626" s="104">
        <f>SUM(I462)</f>
        <v>749155.61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305603.86</v>
      </c>
      <c r="H627" s="164">
        <f>SUM(J458)</f>
        <v>305603.86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563164.71</v>
      </c>
      <c r="H628" s="164">
        <f>SUM(J462)</f>
        <v>563164.71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936456.9</v>
      </c>
      <c r="H630" s="104">
        <f>SUM(G451)</f>
        <v>936456.89999999991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936456.9</v>
      </c>
      <c r="H632" s="104">
        <f>SUM(I451)</f>
        <v>936456.89999999991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1657.95</v>
      </c>
      <c r="H634" s="104">
        <f>H400</f>
        <v>1657.9499999999998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300000</v>
      </c>
      <c r="H635" s="104">
        <f>G400</f>
        <v>300000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305603.86</v>
      </c>
      <c r="H636" s="104">
        <f>L400</f>
        <v>305603.86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855171.46999999986</v>
      </c>
      <c r="H637" s="104">
        <f>L200+L218+L236</f>
        <v>855171.47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391164.98</v>
      </c>
      <c r="H638" s="104">
        <f>(J249+J330)-(J247+J328)</f>
        <v>391164.98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334574.02999999997</v>
      </c>
      <c r="H639" s="104">
        <f>H588</f>
        <v>334574.03000000003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202717.52</v>
      </c>
      <c r="H640" s="104">
        <f>I588</f>
        <v>202717.52000000002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317879.92</v>
      </c>
      <c r="H641" s="104">
        <f>J588</f>
        <v>317879.92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300000</v>
      </c>
      <c r="H645" s="104">
        <f>K258+K339</f>
        <v>300000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2.9999837279319763E-3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8404637.709999999</v>
      </c>
      <c r="G650" s="19">
        <f>(L221+L301+L351)</f>
        <v>5195494.58</v>
      </c>
      <c r="H650" s="19">
        <f>(L239+L320+L352)</f>
        <v>7486198.4729999993</v>
      </c>
      <c r="I650" s="19">
        <f>SUM(F650:H650)</f>
        <v>21086330.762999997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129289.14314564095</v>
      </c>
      <c r="G651" s="19">
        <f>(L351/IF(SUM(L350:L352)=0,1,SUM(L350:L352))*(SUM(G89:G102)))</f>
        <v>76082.069955206738</v>
      </c>
      <c r="H651" s="19">
        <f>(L352/IF(SUM(L350:L352)=0,1,SUM(L350:L352))*(SUM(G89:G102)))</f>
        <v>108228.70689915234</v>
      </c>
      <c r="I651" s="19">
        <f>SUM(F651:H651)</f>
        <v>313599.92000000004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334574.02999999997</v>
      </c>
      <c r="G652" s="19">
        <f>(L218+L298)-(J218+J298)</f>
        <v>204208.93</v>
      </c>
      <c r="H652" s="19">
        <f>(L236+L317)-(J236+J317)</f>
        <v>317879.92</v>
      </c>
      <c r="I652" s="19">
        <f>SUM(F652:H652)</f>
        <v>856662.87999999989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143878.9</v>
      </c>
      <c r="G653" s="200">
        <f>SUM(G565:G577)+SUM(I592:I594)+L602</f>
        <v>149658.65</v>
      </c>
      <c r="H653" s="200">
        <f>SUM(H565:H577)+SUM(J592:J594)+L603</f>
        <v>775084.35000000009</v>
      </c>
      <c r="I653" s="19">
        <f>SUM(F653:H653)</f>
        <v>1068621.9000000001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7796895.636854358</v>
      </c>
      <c r="G654" s="19">
        <f>G650-SUM(G651:G653)</f>
        <v>4765544.9300447935</v>
      </c>
      <c r="H654" s="19">
        <f>H650-SUM(H651:H653)</f>
        <v>6285005.4961008467</v>
      </c>
      <c r="I654" s="19">
        <f>I650-SUM(I651:I653)</f>
        <v>18847446.062999997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621.62</v>
      </c>
      <c r="G655" s="249">
        <v>352.58</v>
      </c>
      <c r="H655" s="249">
        <v>467.9</v>
      </c>
      <c r="I655" s="19">
        <f>SUM(F655:H655)</f>
        <v>1442.1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12542.86</v>
      </c>
      <c r="G657" s="19">
        <f>ROUND(G654/G655,2)</f>
        <v>13516.21</v>
      </c>
      <c r="H657" s="19">
        <f>ROUND(H654/H655,2)</f>
        <v>13432.37</v>
      </c>
      <c r="I657" s="19">
        <f>ROUND(I654/I655,2)</f>
        <v>13069.44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-7.86</v>
      </c>
      <c r="I660" s="19">
        <f>SUM(F660:H660)</f>
        <v>-7.86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12542.86</v>
      </c>
      <c r="G662" s="19">
        <f>ROUND((G654+G659)/(G655+G660),2)</f>
        <v>13516.21</v>
      </c>
      <c r="H662" s="19">
        <f>ROUND((H654+H659)/(H655+H660),2)</f>
        <v>13661.87</v>
      </c>
      <c r="I662" s="19">
        <f>ROUND((I654+I659)/(I655+I660),2)</f>
        <v>13141.07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horizontalCentered="1" gridLines="1" gridLinesSet="0"/>
  <pageMargins left="0.3" right="0.3" top="0.75" bottom="0.75" header="0.5" footer="0.5"/>
  <pageSetup scale="90" fitToHeight="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7BCB-A99E-48D0-A59B-5474B706DED3}">
  <sheetPr>
    <tabColor indexed="20"/>
  </sheetPr>
  <dimension ref="A1:C52"/>
  <sheetViews>
    <sheetView topLeftCell="A18" workbookViewId="0">
      <selection activeCell="B20" sqref="B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Winnisquam Regional SAU #59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5228064.4100000011</v>
      </c>
      <c r="C9" s="230">
        <f>'DOE25'!G189+'DOE25'!G207+'DOE25'!G225+'DOE25'!G268+'DOE25'!G287+'DOE25'!G306</f>
        <v>2043517.7</v>
      </c>
    </row>
    <row r="10" spans="1:3" x14ac:dyDescent="0.2">
      <c r="A10" t="s">
        <v>810</v>
      </c>
      <c r="B10" s="241">
        <v>4794153.62</v>
      </c>
      <c r="C10" s="241">
        <v>2023063.23</v>
      </c>
    </row>
    <row r="11" spans="1:3" x14ac:dyDescent="0.2">
      <c r="A11" t="s">
        <v>811</v>
      </c>
      <c r="B11" s="241">
        <v>24079.27</v>
      </c>
      <c r="C11" s="241">
        <v>3055.02</v>
      </c>
    </row>
    <row r="12" spans="1:3" x14ac:dyDescent="0.2">
      <c r="A12" t="s">
        <v>812</v>
      </c>
      <c r="B12" s="241">
        <v>409831.52</v>
      </c>
      <c r="C12" s="241">
        <v>17399.45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5228064.41</v>
      </c>
      <c r="C13" s="232">
        <f>SUM(C10:C12)</f>
        <v>2043517.7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1834697.07</v>
      </c>
      <c r="C18" s="230">
        <f>'DOE25'!G190+'DOE25'!G208+'DOE25'!G226+'DOE25'!G269+'DOE25'!G288+'DOE25'!G307</f>
        <v>631573.97</v>
      </c>
    </row>
    <row r="19" spans="1:3" x14ac:dyDescent="0.2">
      <c r="A19" t="s">
        <v>810</v>
      </c>
      <c r="B19" s="241">
        <v>1094208.6599999999</v>
      </c>
      <c r="C19" s="241">
        <v>563720.13</v>
      </c>
    </row>
    <row r="20" spans="1:3" x14ac:dyDescent="0.2">
      <c r="A20" t="s">
        <v>811</v>
      </c>
      <c r="B20" s="241">
        <v>713353.72</v>
      </c>
      <c r="C20" s="241">
        <v>64286.879999999997</v>
      </c>
    </row>
    <row r="21" spans="1:3" x14ac:dyDescent="0.2">
      <c r="A21" t="s">
        <v>812</v>
      </c>
      <c r="B21" s="241">
        <v>27134.69</v>
      </c>
      <c r="C21" s="241">
        <v>3566.96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1834697.0699999998</v>
      </c>
      <c r="C22" s="232">
        <f>SUM(C19:C21)</f>
        <v>631573.97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232938.1</v>
      </c>
      <c r="C27" s="235">
        <f>'DOE25'!G191+'DOE25'!G209+'DOE25'!G227+'DOE25'!G270+'DOE25'!G289+'DOE25'!G308</f>
        <v>102541.3</v>
      </c>
    </row>
    <row r="28" spans="1:3" x14ac:dyDescent="0.2">
      <c r="A28" t="s">
        <v>810</v>
      </c>
      <c r="B28" s="241">
        <v>212473.7</v>
      </c>
      <c r="C28" s="241">
        <v>80051.460000000006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>
        <v>20464.400000000001</v>
      </c>
      <c r="C30" s="241">
        <v>22489.84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232938.1</v>
      </c>
      <c r="C31" s="232">
        <f>SUM(C28:C30)</f>
        <v>102541.3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228350.6</v>
      </c>
      <c r="C36" s="236">
        <f>'DOE25'!G192+'DOE25'!G210+'DOE25'!G228+'DOE25'!G271+'DOE25'!G290+'DOE25'!G309</f>
        <v>57576.630000000005</v>
      </c>
    </row>
    <row r="37" spans="1:3" x14ac:dyDescent="0.2">
      <c r="A37" t="s">
        <v>810</v>
      </c>
      <c r="B37" s="241">
        <v>15000</v>
      </c>
      <c r="C37" s="241">
        <v>2410.33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213350.6</v>
      </c>
      <c r="C39" s="241">
        <v>55166.3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228350.6</v>
      </c>
      <c r="C40" s="232">
        <f>SUM(C37:C39)</f>
        <v>57576.630000000005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532B-6613-4A9A-B01A-5AF5121AD40E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Winnisquam Regional SAU #59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11101041.18</v>
      </c>
      <c r="D5" s="20">
        <f>SUM('DOE25'!L189:L192)+SUM('DOE25'!L207:L210)+SUM('DOE25'!L225:L228)-F5-G5</f>
        <v>10974389.26</v>
      </c>
      <c r="E5" s="244"/>
      <c r="F5" s="256">
        <f>SUM('DOE25'!J189:J192)+SUM('DOE25'!J207:J210)+SUM('DOE25'!J225:J228)</f>
        <v>54539.680000000008</v>
      </c>
      <c r="G5" s="53">
        <f>SUM('DOE25'!K189:K192)+SUM('DOE25'!K207:K210)+SUM('DOE25'!K225:K228)</f>
        <v>72112.239999999991</v>
      </c>
      <c r="H5" s="260"/>
    </row>
    <row r="6" spans="1:9" x14ac:dyDescent="0.2">
      <c r="A6" s="32">
        <v>2100</v>
      </c>
      <c r="B6" t="s">
        <v>832</v>
      </c>
      <c r="C6" s="246">
        <f t="shared" si="0"/>
        <v>1557659.5600000003</v>
      </c>
      <c r="D6" s="20">
        <f>'DOE25'!L194+'DOE25'!L212+'DOE25'!L230-F6-G6</f>
        <v>1550416.2600000002</v>
      </c>
      <c r="E6" s="244"/>
      <c r="F6" s="256">
        <f>'DOE25'!J194+'DOE25'!J212+'DOE25'!J230</f>
        <v>6753.3</v>
      </c>
      <c r="G6" s="53">
        <f>'DOE25'!K194+'DOE25'!K212+'DOE25'!K230</f>
        <v>490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517448.89</v>
      </c>
      <c r="D7" s="20">
        <f>'DOE25'!L195+'DOE25'!L213+'DOE25'!L231-F7-G7</f>
        <v>515005.89</v>
      </c>
      <c r="E7" s="244"/>
      <c r="F7" s="256">
        <f>'DOE25'!J195+'DOE25'!J213+'DOE25'!J231</f>
        <v>1443</v>
      </c>
      <c r="G7" s="53">
        <f>'DOE25'!K195+'DOE25'!K213+'DOE25'!K231</f>
        <v>1000</v>
      </c>
      <c r="H7" s="260"/>
    </row>
    <row r="8" spans="1:9" x14ac:dyDescent="0.2">
      <c r="A8" s="32">
        <v>2300</v>
      </c>
      <c r="B8" t="s">
        <v>833</v>
      </c>
      <c r="C8" s="246">
        <f t="shared" si="0"/>
        <v>990301.22000000009</v>
      </c>
      <c r="D8" s="244"/>
      <c r="E8" s="20">
        <f>'DOE25'!L196+'DOE25'!L214+'DOE25'!L232-F8-G8-D9-D11</f>
        <v>826410.43</v>
      </c>
      <c r="F8" s="256">
        <f>'DOE25'!J196+'DOE25'!J214+'DOE25'!J232</f>
        <v>156074.74</v>
      </c>
      <c r="G8" s="53">
        <f>'DOE25'!K196+'DOE25'!K214+'DOE25'!K232</f>
        <v>7816.0499999999993</v>
      </c>
      <c r="H8" s="260"/>
    </row>
    <row r="9" spans="1:9" x14ac:dyDescent="0.2">
      <c r="A9" s="32">
        <v>2310</v>
      </c>
      <c r="B9" t="s">
        <v>849</v>
      </c>
      <c r="C9" s="246">
        <f t="shared" si="0"/>
        <v>297531.65999999997</v>
      </c>
      <c r="D9" s="245">
        <v>297531.65999999997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22686.5</v>
      </c>
      <c r="D10" s="244"/>
      <c r="E10" s="245">
        <v>22686.5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235342.11</v>
      </c>
      <c r="D11" s="245">
        <v>235342.11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1219242.73</v>
      </c>
      <c r="D12" s="20">
        <f>'DOE25'!L197+'DOE25'!L215+'DOE25'!L233-F12-G12</f>
        <v>1208729.08</v>
      </c>
      <c r="E12" s="244"/>
      <c r="F12" s="256">
        <f>'DOE25'!J197+'DOE25'!J215+'DOE25'!J233</f>
        <v>0</v>
      </c>
      <c r="G12" s="53">
        <f>'DOE25'!K197+'DOE25'!K215+'DOE25'!K233</f>
        <v>10513.65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289589.45</v>
      </c>
      <c r="D13" s="244"/>
      <c r="E13" s="20">
        <f>'DOE25'!L198+'DOE25'!L216+'DOE25'!L234-F13-G13</f>
        <v>289589.45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2322692.6100000003</v>
      </c>
      <c r="D14" s="20">
        <f>'DOE25'!L199+'DOE25'!L217+'DOE25'!L235-F14-G14</f>
        <v>2228381.7200000007</v>
      </c>
      <c r="E14" s="244"/>
      <c r="F14" s="256">
        <f>'DOE25'!J199+'DOE25'!J217+'DOE25'!J235</f>
        <v>94057.76</v>
      </c>
      <c r="G14" s="53">
        <f>'DOE25'!K199+'DOE25'!K217+'DOE25'!K235</f>
        <v>253.13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855171.47</v>
      </c>
      <c r="D15" s="20">
        <f>'DOE25'!L200+'DOE25'!L218+'DOE25'!L236-F15-G15</f>
        <v>855171.47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476516.66</v>
      </c>
      <c r="D22" s="244"/>
      <c r="E22" s="244"/>
      <c r="F22" s="256">
        <f>'DOE25'!L247+'DOE25'!L328</f>
        <v>476516.66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2245793</v>
      </c>
      <c r="D25" s="244"/>
      <c r="E25" s="244"/>
      <c r="F25" s="259"/>
      <c r="G25" s="257"/>
      <c r="H25" s="258">
        <f>'DOE25'!L252+'DOE25'!L253+'DOE25'!L333+'DOE25'!L334</f>
        <v>2245793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266002.7429999999</v>
      </c>
      <c r="D29" s="20">
        <f>'DOE25'!L350+'DOE25'!L351+'DOE25'!L352-'DOE25'!I359-F29-G29</f>
        <v>261257.88299999991</v>
      </c>
      <c r="E29" s="244"/>
      <c r="F29" s="256">
        <f>'DOE25'!J350+'DOE25'!J351+'DOE25'!J352</f>
        <v>3943.6099999999997</v>
      </c>
      <c r="G29" s="53">
        <f>'DOE25'!K350+'DOE25'!K351+'DOE25'!K352</f>
        <v>801.25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1155118.23</v>
      </c>
      <c r="D31" s="20">
        <f>'DOE25'!L282+'DOE25'!L301+'DOE25'!L320+'DOE25'!L325+'DOE25'!L326+'DOE25'!L327-F31-G31</f>
        <v>1072817.6299999999</v>
      </c>
      <c r="E31" s="244"/>
      <c r="F31" s="256">
        <f>'DOE25'!J282+'DOE25'!J301+'DOE25'!J320+'DOE25'!J325+'DOE25'!J326+'DOE25'!J327</f>
        <v>78296.5</v>
      </c>
      <c r="G31" s="53">
        <f>'DOE25'!K282+'DOE25'!K301+'DOE25'!K320+'DOE25'!K325+'DOE25'!K326+'DOE25'!K327</f>
        <v>4004.1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19199042.963</v>
      </c>
      <c r="E33" s="247">
        <f>SUM(E5:E31)</f>
        <v>1138686.3800000001</v>
      </c>
      <c r="F33" s="247">
        <f>SUM(F5:F31)</f>
        <v>871625.24999999988</v>
      </c>
      <c r="G33" s="247">
        <f>SUM(G5:G31)</f>
        <v>96990.42</v>
      </c>
      <c r="H33" s="247">
        <f>SUM(H5:H31)</f>
        <v>2245793</v>
      </c>
    </row>
    <row r="35" spans="2:8" ht="12" thickBot="1" x14ac:dyDescent="0.25">
      <c r="B35" s="254" t="s">
        <v>878</v>
      </c>
      <c r="D35" s="255">
        <f>E33</f>
        <v>1138686.3800000001</v>
      </c>
      <c r="E35" s="250"/>
    </row>
    <row r="36" spans="2:8" ht="12" thickTop="1" x14ac:dyDescent="0.2">
      <c r="B36" t="s">
        <v>846</v>
      </c>
      <c r="D36" s="20">
        <f>D33</f>
        <v>19199042.963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CFA6-0F91-462C-9321-43600C85020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Winnisquam Regional SAU #59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990207.5</v>
      </c>
      <c r="D9" s="95">
        <f>'DOE25'!G9</f>
        <v>3202.44</v>
      </c>
      <c r="E9" s="95">
        <f>'DOE25'!H9</f>
        <v>0</v>
      </c>
      <c r="F9" s="95">
        <f>'DOE25'!I9</f>
        <v>0</v>
      </c>
      <c r="G9" s="95">
        <f>'DOE25'!J9</f>
        <v>936456.9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44390.17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252560.47</v>
      </c>
      <c r="D12" s="95">
        <f>'DOE25'!G12</f>
        <v>86763.57</v>
      </c>
      <c r="E12" s="95">
        <f>'DOE25'!H12</f>
        <v>66719.12</v>
      </c>
      <c r="F12" s="95">
        <f>'DOE25'!I12</f>
        <v>122760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3300</v>
      </c>
      <c r="D13" s="95">
        <f>'DOE25'!G13</f>
        <v>19858.16</v>
      </c>
      <c r="E13" s="95">
        <f>'DOE25'!H13</f>
        <v>368415.45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481925.52</v>
      </c>
      <c r="D14" s="95">
        <f>'DOE25'!G14</f>
        <v>4830.24</v>
      </c>
      <c r="E14" s="95">
        <f>'DOE25'!H14</f>
        <v>500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30695.200000000001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1758688.69</v>
      </c>
      <c r="D19" s="41">
        <f>SUM(D9:D18)</f>
        <v>114654.41000000002</v>
      </c>
      <c r="E19" s="41">
        <f>SUM(E9:E18)</f>
        <v>435634.57</v>
      </c>
      <c r="F19" s="41">
        <f>SUM(F9:F18)</f>
        <v>167150.16999999998</v>
      </c>
      <c r="G19" s="41">
        <f>SUM(G9:G18)</f>
        <v>936456.9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360448.53</v>
      </c>
      <c r="F22" s="95">
        <f>'DOE25'!I23</f>
        <v>100612.83</v>
      </c>
      <c r="G22" s="95">
        <f>'DOE25'!J23</f>
        <v>102405.26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251.07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210464.11</v>
      </c>
      <c r="D24" s="95">
        <f>'DOE25'!G25</f>
        <v>124.51</v>
      </c>
      <c r="E24" s="95">
        <f>'DOE25'!H25</f>
        <v>0</v>
      </c>
      <c r="F24" s="95">
        <f>'DOE25'!I25</f>
        <v>0</v>
      </c>
      <c r="G24" s="95">
        <f>'DOE25'!J25</f>
        <v>460759.45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21909.95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291980.45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10428.76</v>
      </c>
      <c r="E30" s="95">
        <f>'DOE25'!H31</f>
        <v>8215.85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6961.22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531315.73</v>
      </c>
      <c r="D32" s="41">
        <f>SUM(D22:D31)</f>
        <v>10553.27</v>
      </c>
      <c r="E32" s="41">
        <f>SUM(E22:E31)</f>
        <v>368915.45</v>
      </c>
      <c r="F32" s="41">
        <f>SUM(F22:F31)</f>
        <v>100612.83</v>
      </c>
      <c r="G32" s="41">
        <f>SUM(G22:G31)</f>
        <v>563164.71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364812.45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530000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104101.14</v>
      </c>
      <c r="E40" s="95">
        <f>'DOE25'!H41</f>
        <v>66719.12</v>
      </c>
      <c r="F40" s="95">
        <f>'DOE25'!I41</f>
        <v>66537.34</v>
      </c>
      <c r="G40" s="95">
        <f>'DOE25'!J41</f>
        <v>373292.19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332560.51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1227372.96</v>
      </c>
      <c r="D42" s="41">
        <f>SUM(D34:D41)</f>
        <v>104101.14</v>
      </c>
      <c r="E42" s="41">
        <f>SUM(E34:E41)</f>
        <v>66719.12</v>
      </c>
      <c r="F42" s="41">
        <f>SUM(F34:F41)</f>
        <v>66537.34</v>
      </c>
      <c r="G42" s="41">
        <f>SUM(G34:G41)</f>
        <v>373292.19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1758688.69</v>
      </c>
      <c r="D43" s="41">
        <f>D42+D32</f>
        <v>114654.41</v>
      </c>
      <c r="E43" s="41">
        <f>E42+E32</f>
        <v>435634.57</v>
      </c>
      <c r="F43" s="41">
        <f>F42+F32</f>
        <v>167150.16999999998</v>
      </c>
      <c r="G43" s="41">
        <f>G42+G32</f>
        <v>936456.89999999991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11099276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75203.87</v>
      </c>
      <c r="D49" s="24" t="s">
        <v>312</v>
      </c>
      <c r="E49" s="95">
        <f>'DOE25'!H71</f>
        <v>2894.43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2240.09</v>
      </c>
      <c r="D51" s="95">
        <f>'DOE25'!G88</f>
        <v>8.2100000000000009</v>
      </c>
      <c r="E51" s="95">
        <f>'DOE25'!H88</f>
        <v>0</v>
      </c>
      <c r="F51" s="95">
        <f>'DOE25'!I88</f>
        <v>527.55999999999995</v>
      </c>
      <c r="G51" s="95">
        <f>'DOE25'!J88</f>
        <v>1657.95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313599.92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58551.86</v>
      </c>
      <c r="D53" s="95">
        <f>SUM('DOE25'!G90:G102)</f>
        <v>0</v>
      </c>
      <c r="E53" s="95">
        <f>SUM('DOE25'!H90:H102)</f>
        <v>17961.849999999999</v>
      </c>
      <c r="F53" s="95">
        <f>SUM('DOE25'!I90:I102)</f>
        <v>28405</v>
      </c>
      <c r="G53" s="95">
        <f>SUM('DOE25'!J90:J102)</f>
        <v>3945.91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135995.82</v>
      </c>
      <c r="D54" s="130">
        <f>SUM(D49:D53)</f>
        <v>313608.13</v>
      </c>
      <c r="E54" s="130">
        <f>SUM(E49:E53)</f>
        <v>20856.28</v>
      </c>
      <c r="F54" s="130">
        <f>SUM(F49:F53)</f>
        <v>28932.560000000001</v>
      </c>
      <c r="G54" s="130">
        <f>SUM(G49:G53)</f>
        <v>5603.86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11235271.82</v>
      </c>
      <c r="D55" s="22">
        <f>D48+D54</f>
        <v>313608.13</v>
      </c>
      <c r="E55" s="22">
        <f>E48+E54</f>
        <v>20856.28</v>
      </c>
      <c r="F55" s="22">
        <f>F48+F54</f>
        <v>28932.560000000001</v>
      </c>
      <c r="G55" s="22">
        <f>G48+G54</f>
        <v>5603.86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6113911.1699999999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2957636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221749.83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9293297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866400.66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43389.04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52336.53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12900</v>
      </c>
      <c r="D69" s="95">
        <f>SUM('DOE25'!G123:G127)</f>
        <v>8175.38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975026.2300000001</v>
      </c>
      <c r="D70" s="130">
        <f>SUM(D64:D69)</f>
        <v>8175.38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66719.12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10268323.23</v>
      </c>
      <c r="D73" s="130">
        <f>SUM(D71:D72)+D70+D62</f>
        <v>8175.38</v>
      </c>
      <c r="E73" s="130">
        <f>SUM(E71:E72)+E70+E62</f>
        <v>66719.12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145488.32000000001</v>
      </c>
      <c r="D80" s="95">
        <f>SUM('DOE25'!G145:G153)</f>
        <v>267262.64</v>
      </c>
      <c r="E80" s="95">
        <f>SUM('DOE25'!H145:H153)</f>
        <v>1150191.3399999999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145488.32000000001</v>
      </c>
      <c r="D83" s="131">
        <f>SUM(D77:D82)</f>
        <v>267262.64</v>
      </c>
      <c r="E83" s="131">
        <f>SUM(E77:E82)</f>
        <v>1150191.3399999999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2040.3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300000</v>
      </c>
    </row>
    <row r="89" spans="1:7" x14ac:dyDescent="0.2">
      <c r="A89" t="s">
        <v>789</v>
      </c>
      <c r="B89" s="32" t="s">
        <v>211</v>
      </c>
      <c r="C89" s="95">
        <f>SUM('DOE25'!F172:F173)</f>
        <v>14234.39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554487.1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570761.78999999992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300000</v>
      </c>
    </row>
    <row r="96" spans="1:7" ht="12.75" thickTop="1" thickBot="1" x14ac:dyDescent="0.25">
      <c r="A96" s="33" t="s">
        <v>796</v>
      </c>
      <c r="C96" s="86">
        <f>C55+C73+C83+C95</f>
        <v>22219845.16</v>
      </c>
      <c r="D96" s="86">
        <f>D55+D73+D83+D95</f>
        <v>589046.15</v>
      </c>
      <c r="E96" s="86">
        <f>E55+E73+E83+E95</f>
        <v>1237766.7399999998</v>
      </c>
      <c r="F96" s="86">
        <f>F55+F73+F83+F95</f>
        <v>28932.560000000001</v>
      </c>
      <c r="G96" s="86">
        <f>G55+G73+G95</f>
        <v>305603.86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7317597.3999999994</v>
      </c>
      <c r="D101" s="24" t="s">
        <v>312</v>
      </c>
      <c r="E101" s="95">
        <f>('DOE25'!L268)+('DOE25'!L287)+('DOE25'!L306)</f>
        <v>429384.5799999999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3019739.7299999995</v>
      </c>
      <c r="D102" s="24" t="s">
        <v>312</v>
      </c>
      <c r="E102" s="95">
        <f>('DOE25'!L269)+('DOE25'!L288)+('DOE25'!L307)</f>
        <v>446211.04000000004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394693.60000000003</v>
      </c>
      <c r="D103" s="24" t="s">
        <v>312</v>
      </c>
      <c r="E103" s="95">
        <f>('DOE25'!L270)+('DOE25'!L289)+('DOE25'!L308)</f>
        <v>44606.94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369010.45</v>
      </c>
      <c r="D104" s="24" t="s">
        <v>312</v>
      </c>
      <c r="E104" s="95">
        <f>+('DOE25'!L271)+('DOE25'!L290)+('DOE25'!L309)</f>
        <v>4119.1100000000006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11101041.179999998</v>
      </c>
      <c r="D107" s="86">
        <f>SUM(D101:D106)</f>
        <v>0</v>
      </c>
      <c r="E107" s="86">
        <f>SUM(E101:E106)</f>
        <v>924321.66999999981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1557659.5600000003</v>
      </c>
      <c r="D110" s="24" t="s">
        <v>312</v>
      </c>
      <c r="E110" s="95">
        <f>+('DOE25'!L273)+('DOE25'!L292)+('DOE25'!L311)</f>
        <v>60935.229999999996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517448.89</v>
      </c>
      <c r="D111" s="24" t="s">
        <v>312</v>
      </c>
      <c r="E111" s="95">
        <f>+('DOE25'!L274)+('DOE25'!L293)+('DOE25'!L312)</f>
        <v>161651.57999999999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1523174.99</v>
      </c>
      <c r="D112" s="24" t="s">
        <v>312</v>
      </c>
      <c r="E112" s="95">
        <f>+('DOE25'!L275)+('DOE25'!L294)+('DOE25'!L313)</f>
        <v>6504.0599999999995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1219242.73</v>
      </c>
      <c r="D113" s="24" t="s">
        <v>312</v>
      </c>
      <c r="E113" s="95">
        <f>+('DOE25'!L276)+('DOE25'!L295)+('DOE25'!L314)</f>
        <v>214.28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289589.45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2322692.6100000003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855171.47</v>
      </c>
      <c r="D116" s="24" t="s">
        <v>312</v>
      </c>
      <c r="E116" s="95">
        <f>+('DOE25'!L279)+('DOE25'!L298)+('DOE25'!L317)</f>
        <v>1491.41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545191.65299999993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8284979.7000000002</v>
      </c>
      <c r="D120" s="86">
        <f>SUM(D110:D119)</f>
        <v>545191.65299999993</v>
      </c>
      <c r="E120" s="86">
        <f>SUM(E110:E119)</f>
        <v>230796.56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474821.66</v>
      </c>
      <c r="D122" s="24" t="s">
        <v>312</v>
      </c>
      <c r="E122" s="129">
        <f>'DOE25'!L328</f>
        <v>1695</v>
      </c>
      <c r="F122" s="129">
        <f>SUM('DOE25'!L366:'DOE25'!L372)</f>
        <v>749155.61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1665751.66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580041.34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14234.39</v>
      </c>
      <c r="F126" s="95">
        <f>'DOE25'!K373</f>
        <v>0</v>
      </c>
      <c r="G126" s="95">
        <f>'DOE25'!K426</f>
        <v>554487.1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255539.81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50064.05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-5603.859999999986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3020614.6599999997</v>
      </c>
      <c r="D136" s="141">
        <f>SUM(D122:D135)</f>
        <v>0</v>
      </c>
      <c r="E136" s="141">
        <f>SUM(E122:E135)</f>
        <v>15929.39</v>
      </c>
      <c r="F136" s="141">
        <f>SUM(F122:F135)</f>
        <v>749155.61</v>
      </c>
      <c r="G136" s="141">
        <f>SUM(G122:G135)</f>
        <v>554487.1</v>
      </c>
    </row>
    <row r="137" spans="1:9" ht="12.75" thickTop="1" thickBot="1" x14ac:dyDescent="0.25">
      <c r="A137" s="33" t="s">
        <v>267</v>
      </c>
      <c r="C137" s="86">
        <f>(C107+C120+C136)</f>
        <v>22406635.539999999</v>
      </c>
      <c r="D137" s="86">
        <f>(D107+D120+D136)</f>
        <v>545191.65299999993</v>
      </c>
      <c r="E137" s="86">
        <f>(E107+E120+E136)</f>
        <v>1171047.6199999996</v>
      </c>
      <c r="F137" s="86">
        <f>(F107+F120+F136)</f>
        <v>749155.61</v>
      </c>
      <c r="G137" s="86">
        <f>(G107+G120+G136)</f>
        <v>554487.1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13</v>
      </c>
      <c r="D143" s="153">
        <f>'DOE25'!H480</f>
        <v>20</v>
      </c>
      <c r="E143" s="153">
        <f>'DOE25'!I480</f>
        <v>10</v>
      </c>
      <c r="F143" s="153">
        <f>'DOE25'!J480</f>
        <v>15</v>
      </c>
      <c r="G143" s="24" t="s">
        <v>312</v>
      </c>
    </row>
    <row r="144" spans="1:9" x14ac:dyDescent="0.2">
      <c r="A144" s="136" t="s">
        <v>28</v>
      </c>
      <c r="B144" s="152" t="str">
        <f>'DOE25'!F481</f>
        <v>01/91</v>
      </c>
      <c r="C144" s="152" t="str">
        <f>'DOE25'!G481</f>
        <v>01/03</v>
      </c>
      <c r="D144" s="152" t="str">
        <f>'DOE25'!H481</f>
        <v>02/02</v>
      </c>
      <c r="E144" s="152" t="str">
        <f>'DOE25'!I481</f>
        <v>03/11</v>
      </c>
      <c r="F144" s="152" t="str">
        <f>'DOE25'!J481</f>
        <v>11/09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07/10</v>
      </c>
      <c r="C145" s="152" t="str">
        <f>'DOE25'!G482</f>
        <v>01/15</v>
      </c>
      <c r="D145" s="152" t="str">
        <f>'DOE25'!H482</f>
        <v>08/11</v>
      </c>
      <c r="E145" s="152" t="str">
        <f>'DOE25'!I482</f>
        <v>08/21</v>
      </c>
      <c r="F145" s="152" t="str">
        <f>'DOE25'!J482</f>
        <v>12/24</v>
      </c>
      <c r="G145" s="24" t="s">
        <v>312</v>
      </c>
    </row>
    <row r="146" spans="1:7" x14ac:dyDescent="0.2">
      <c r="A146" s="136" t="s">
        <v>30</v>
      </c>
      <c r="B146" s="137">
        <f>'DOE25'!F483</f>
        <v>1150000</v>
      </c>
      <c r="C146" s="137">
        <f>'DOE25'!G483</f>
        <v>7005000</v>
      </c>
      <c r="D146" s="137">
        <f>'DOE25'!H483</f>
        <v>17000000</v>
      </c>
      <c r="E146" s="137">
        <f>'DOE25'!I483</f>
        <v>8625000</v>
      </c>
      <c r="F146" s="137">
        <f>'DOE25'!J483</f>
        <v>3396240</v>
      </c>
      <c r="G146" s="24" t="s">
        <v>312</v>
      </c>
    </row>
    <row r="147" spans="1:7" x14ac:dyDescent="0.2">
      <c r="A147" s="136" t="s">
        <v>31</v>
      </c>
      <c r="B147" s="137">
        <f>'DOE25'!F484</f>
        <v>7.1</v>
      </c>
      <c r="C147" s="137">
        <f>'DOE25'!G484</f>
        <v>3.2</v>
      </c>
      <c r="D147" s="137">
        <f>'DOE25'!H484</f>
        <v>4</v>
      </c>
      <c r="E147" s="137">
        <f>'DOE25'!I484</f>
        <v>3.19</v>
      </c>
      <c r="F147" s="137">
        <f>'DOE25'!J484</f>
        <v>1.4</v>
      </c>
      <c r="G147" s="24" t="s">
        <v>312</v>
      </c>
    </row>
    <row r="148" spans="1:7" x14ac:dyDescent="0.2">
      <c r="A148" s="22" t="s">
        <v>32</v>
      </c>
      <c r="B148" s="137">
        <f>'DOE25'!F485</f>
        <v>55000</v>
      </c>
      <c r="C148" s="137">
        <f>'DOE25'!G485</f>
        <v>2395000</v>
      </c>
      <c r="D148" s="137">
        <f>'DOE25'!H485</f>
        <v>11050000</v>
      </c>
      <c r="E148" s="137">
        <f>'DOE25'!I485</f>
        <v>0</v>
      </c>
      <c r="F148" s="137">
        <f>'DOE25'!J485</f>
        <v>3396240</v>
      </c>
      <c r="G148" s="138">
        <f>SUM(B148:F148)</f>
        <v>16896240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8625000</v>
      </c>
      <c r="F149" s="137">
        <f>'DOE25'!J486</f>
        <v>0</v>
      </c>
      <c r="G149" s="138">
        <f t="shared" ref="G149:G156" si="0">SUM(B149:F149)</f>
        <v>8625000</v>
      </c>
    </row>
    <row r="150" spans="1:7" x14ac:dyDescent="0.2">
      <c r="A150" s="22" t="s">
        <v>34</v>
      </c>
      <c r="B150" s="137">
        <f>'DOE25'!F487</f>
        <v>55000</v>
      </c>
      <c r="C150" s="137">
        <f>'DOE25'!G487</f>
        <v>530000</v>
      </c>
      <c r="D150" s="137">
        <f>'DOE25'!H487</f>
        <v>10200000</v>
      </c>
      <c r="E150" s="137">
        <f>'DOE25'!I487</f>
        <v>0</v>
      </c>
      <c r="F150" s="137">
        <f>'DOE25'!J487</f>
        <v>230751.66</v>
      </c>
      <c r="G150" s="138">
        <f t="shared" si="0"/>
        <v>11015751.66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1865000</v>
      </c>
      <c r="D151" s="137">
        <f>'DOE25'!H488</f>
        <v>850000</v>
      </c>
      <c r="E151" s="137">
        <f>'DOE25'!I488</f>
        <v>8625000</v>
      </c>
      <c r="F151" s="137">
        <f>'DOE25'!J488</f>
        <v>3165488.34</v>
      </c>
      <c r="G151" s="138">
        <f t="shared" si="0"/>
        <v>14505488.34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175131</v>
      </c>
      <c r="D152" s="137">
        <f>'DOE25'!H489</f>
        <v>17850</v>
      </c>
      <c r="E152" s="137">
        <f>'DOE25'!I489</f>
        <v>1581498.83</v>
      </c>
      <c r="F152" s="137">
        <f>'DOE25'!J489</f>
        <v>336138.25</v>
      </c>
      <c r="G152" s="138">
        <f t="shared" si="0"/>
        <v>2110618.08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2040131</v>
      </c>
      <c r="D153" s="137">
        <f>'DOE25'!H490</f>
        <v>867850</v>
      </c>
      <c r="E153" s="137">
        <f>'DOE25'!I490</f>
        <v>10206498.83</v>
      </c>
      <c r="F153" s="137">
        <f>'DOE25'!J490</f>
        <v>3501626.59</v>
      </c>
      <c r="G153" s="138">
        <f t="shared" si="0"/>
        <v>16616106.42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520000</v>
      </c>
      <c r="D154" s="137">
        <f>'DOE25'!H491</f>
        <v>850000</v>
      </c>
      <c r="E154" s="137">
        <f>'DOE25'!I491</f>
        <v>95000</v>
      </c>
      <c r="F154" s="137">
        <f>'DOE25'!J491</f>
        <v>212727.66</v>
      </c>
      <c r="G154" s="138">
        <f t="shared" si="0"/>
        <v>1677727.66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70807.5</v>
      </c>
      <c r="D155" s="137">
        <f>'DOE25'!H492</f>
        <v>17850</v>
      </c>
      <c r="E155" s="137">
        <f>'DOE25'!I492</f>
        <v>228736.25</v>
      </c>
      <c r="F155" s="137">
        <f>'DOE25'!J492</f>
        <v>44316.84</v>
      </c>
      <c r="G155" s="138">
        <f t="shared" si="0"/>
        <v>361710.58999999997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590807.5</v>
      </c>
      <c r="D156" s="137">
        <f>'DOE25'!H493</f>
        <v>867850</v>
      </c>
      <c r="E156" s="137">
        <f>'DOE25'!I493</f>
        <v>323736.25</v>
      </c>
      <c r="F156" s="137">
        <f>'DOE25'!J493</f>
        <v>257044.5</v>
      </c>
      <c r="G156" s="138">
        <f t="shared" si="0"/>
        <v>2039438.25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20DD-EF97-482D-B9D0-5918ADD2FD4A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Winnisquam Regional SAU #59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12543</v>
      </c>
    </row>
    <row r="5" spans="1:4" x14ac:dyDescent="0.2">
      <c r="B5" t="s">
        <v>735</v>
      </c>
      <c r="C5" s="179">
        <f>IF('DOE25'!G655+'DOE25'!G660=0,0,ROUND('DOE25'!G662,0))</f>
        <v>13516</v>
      </c>
    </row>
    <row r="6" spans="1:4" x14ac:dyDescent="0.2">
      <c r="B6" t="s">
        <v>62</v>
      </c>
      <c r="C6" s="179">
        <f>IF('DOE25'!H655+'DOE25'!H660=0,0,ROUND('DOE25'!H662,0))</f>
        <v>13662</v>
      </c>
    </row>
    <row r="7" spans="1:4" x14ac:dyDescent="0.2">
      <c r="B7" t="s">
        <v>736</v>
      </c>
      <c r="C7" s="179">
        <f>IF('DOE25'!I655+'DOE25'!I660=0,0,ROUND('DOE25'!I662,0))</f>
        <v>13141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7746982</v>
      </c>
      <c r="D10" s="182">
        <f>ROUND((C10/$C$28)*100,1)</f>
        <v>36.299999999999997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3465951</v>
      </c>
      <c r="D11" s="182">
        <f>ROUND((C11/$C$28)*100,1)</f>
        <v>16.2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439301</v>
      </c>
      <c r="D12" s="182">
        <f>ROUND((C12/$C$28)*100,1)</f>
        <v>2.1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373130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1618595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679100</v>
      </c>
      <c r="D16" s="182">
        <f t="shared" si="0"/>
        <v>3.2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1529679</v>
      </c>
      <c r="D17" s="182">
        <f t="shared" si="0"/>
        <v>7.2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1219457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289589</v>
      </c>
      <c r="D19" s="182">
        <f t="shared" si="0"/>
        <v>1.4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2322693</v>
      </c>
      <c r="D20" s="182">
        <f t="shared" si="0"/>
        <v>10.9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856663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580041</v>
      </c>
      <c r="D25" s="182">
        <f t="shared" si="0"/>
        <v>2.7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231592.08000000002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21352773.079999998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1225672</v>
      </c>
    </row>
    <row r="30" spans="1:4" x14ac:dyDescent="0.2">
      <c r="B30" s="187" t="s">
        <v>760</v>
      </c>
      <c r="C30" s="180">
        <f>SUM(C28:C29)</f>
        <v>22578445.079999998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1665752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11099276</v>
      </c>
      <c r="D35" s="182">
        <f t="shared" ref="D35:D40" si="1">ROUND((C35/$C$41)*100,1)</f>
        <v>47.8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193437.02999999933</v>
      </c>
      <c r="D36" s="182">
        <f t="shared" si="1"/>
        <v>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9293297</v>
      </c>
      <c r="D37" s="182">
        <f t="shared" si="1"/>
        <v>40.1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1049921</v>
      </c>
      <c r="D38" s="182">
        <f t="shared" si="1"/>
        <v>4.5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1562942</v>
      </c>
      <c r="D39" s="182">
        <f t="shared" si="1"/>
        <v>6.7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23198873.030000001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54D2-4C85-4453-BBF4-8278723ABC3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Winnisquam Regional SAU #59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2011-08-31T19:04:05Z</cp:lastPrinted>
  <dcterms:created xsi:type="dcterms:W3CDTF">1997-12-04T19:04:30Z</dcterms:created>
  <dcterms:modified xsi:type="dcterms:W3CDTF">2025-01-16T15:38:24Z</dcterms:modified>
</cp:coreProperties>
</file>