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fullCalcOnLoad="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G33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L289" i="1"/>
  <c r="F659" i="1" s="1"/>
  <c r="F663" i="1" s="1"/>
  <c r="F671" i="1" s="1"/>
  <c r="C4" i="10" s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E90" i="2" s="1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J652" i="1"/>
  <c r="G653" i="1"/>
  <c r="H653" i="1"/>
  <c r="J653" i="1" s="1"/>
  <c r="H654" i="1"/>
  <c r="F191" i="1"/>
  <c r="L255" i="1"/>
  <c r="L256" i="1" s="1"/>
  <c r="L270" i="1" s="1"/>
  <c r="G631" i="1" s="1"/>
  <c r="J631" i="1" s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/>
  <c r="H663" i="1" s="1"/>
  <c r="L350" i="1"/>
  <c r="I661" i="1"/>
  <c r="A31" i="12"/>
  <c r="C69" i="2"/>
  <c r="A40" i="12"/>
  <c r="D12" i="13"/>
  <c r="C12" i="13"/>
  <c r="G8" i="2"/>
  <c r="G161" i="2"/>
  <c r="D61" i="2"/>
  <c r="D62" i="2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127" i="2"/>
  <c r="C77" i="2"/>
  <c r="D49" i="2"/>
  <c r="D50" i="2" s="1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F103" i="2" s="1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D144" i="2"/>
  <c r="C23" i="10"/>
  <c r="F168" i="1"/>
  <c r="F192" i="1" s="1"/>
  <c r="G626" i="1" s="1"/>
  <c r="J139" i="1"/>
  <c r="D103" i="2"/>
  <c r="F570" i="1"/>
  <c r="H256" i="1"/>
  <c r="H270" i="1"/>
  <c r="G62" i="2"/>
  <c r="G103" i="2"/>
  <c r="G12" i="2"/>
  <c r="G18" i="2"/>
  <c r="J19" i="1"/>
  <c r="G620" i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/>
  <c r="F551" i="1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/>
  <c r="G50" i="2" s="1"/>
  <c r="J50" i="1"/>
  <c r="C39" i="10"/>
  <c r="H192" i="1"/>
  <c r="G628" i="1" s="1"/>
  <c r="J628" i="1" s="1"/>
  <c r="L564" i="1"/>
  <c r="L570" i="1"/>
  <c r="G544" i="1"/>
  <c r="L544" i="1"/>
  <c r="H544" i="1"/>
  <c r="K550" i="1"/>
  <c r="K551" i="1" s="1"/>
  <c r="F143" i="2"/>
  <c r="F144" i="2" s="1"/>
  <c r="C5" i="13"/>
  <c r="C22" i="13"/>
  <c r="F33" i="13"/>
  <c r="C137" i="2"/>
  <c r="L407" i="1"/>
  <c r="C16" i="13"/>
  <c r="E33" i="13"/>
  <c r="D35" i="13"/>
  <c r="G659" i="1"/>
  <c r="I659" i="1" s="1"/>
  <c r="D31" i="13"/>
  <c r="C31" i="13" s="1"/>
  <c r="L337" i="1"/>
  <c r="L351" i="1" s="1"/>
  <c r="G632" i="1" s="1"/>
  <c r="J632" i="1" s="1"/>
  <c r="C25" i="13"/>
  <c r="H33" i="13"/>
  <c r="F666" i="1"/>
  <c r="G630" i="1"/>
  <c r="J630" i="1"/>
  <c r="G645" i="1"/>
  <c r="G625" i="1"/>
  <c r="J625" i="1" s="1"/>
  <c r="J51" i="1"/>
  <c r="H620" i="1"/>
  <c r="J620" i="1" s="1"/>
  <c r="G636" i="1"/>
  <c r="J636" i="1" s="1"/>
  <c r="H645" i="1"/>
  <c r="J645" i="1" s="1"/>
  <c r="D33" i="13"/>
  <c r="D36" i="13" s="1"/>
  <c r="G663" i="1"/>
  <c r="G666" i="1" s="1"/>
  <c r="G671" i="1"/>
  <c r="C140" i="2" l="1"/>
  <c r="C143" i="2" s="1"/>
  <c r="C144" i="2" s="1"/>
  <c r="J626" i="1"/>
  <c r="H666" i="1"/>
  <c r="H671" i="1"/>
  <c r="C41" i="10"/>
  <c r="D36" i="10" s="1"/>
  <c r="I662" i="1"/>
  <c r="I663" i="1" s="1"/>
  <c r="G634" i="1"/>
  <c r="J634" i="1" s="1"/>
  <c r="C27" i="10"/>
  <c r="I671" i="1" l="1"/>
  <c r="C7" i="10" s="1"/>
  <c r="I666" i="1"/>
  <c r="D38" i="10"/>
  <c r="C28" i="10"/>
  <c r="D39" i="10"/>
  <c r="D37" i="10"/>
  <c r="D40" i="10"/>
  <c r="D35" i="10"/>
  <c r="D41" i="10" s="1"/>
  <c r="H655" i="1"/>
  <c r="D25" i="10" l="1"/>
  <c r="C30" i="10"/>
  <c r="D17" i="10"/>
  <c r="D11" i="10"/>
  <c r="D15" i="10"/>
  <c r="D19" i="10"/>
  <c r="D16" i="10"/>
  <c r="D12" i="10"/>
  <c r="D21" i="10"/>
  <c r="D10" i="10"/>
  <c r="D23" i="10"/>
  <c r="D24" i="10"/>
  <c r="D22" i="10"/>
  <c r="D26" i="10"/>
  <c r="D18" i="10"/>
  <c r="D13" i="10"/>
  <c r="D20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<sst xmlns="http://schemas.openxmlformats.org/spreadsheetml/2006/main" count="3946" uniqueCount="910">
  <si>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</si>
  <si>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</si>
  <si>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</si>
  <si>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</si>
  <si>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</si>
  <si>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</si>
  <si>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</si>
  <si>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</si>
  <si>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</si>
  <si>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</si>
  <si>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</si>
  <si>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</si>
  <si>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</si>
  <si>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</si>
  <si>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</si>
  <si>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</si>
  <si>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</si>
  <si>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</si>
  <si>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</si>
  <si>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</si>
  <si>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</si>
  <si>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</si>
  <si>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</si>
  <si>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</si>
  <si>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</si>
  <si>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</si>
  <si>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</si>
  <si>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</si>
  <si>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</si>
  <si>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</si>
  <si>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</si>
  <si>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</si>
  <si>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</si>
  <si>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</si>
  <si>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</si>
  <si>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</si>
  <si>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</si>
  <si>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</si>
  <si>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</si>
  <si>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</si>
  <si>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</si>
  <si>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</si>
  <si>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</si>
  <si>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</si>
  <si>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</si>
  <si>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</si>
  <si>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</si>
  <si>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</si>
  <si>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</si>
  <si>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</si>
  <si>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</si>
  <si>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</si>
  <si>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</si>
  <si>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</si>
  <si>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</si>
  <si>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</si>
  <si>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</si>
  <si>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</si>
  <si>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</si>
  <si>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</si>
  <si>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</si>
  <si>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</si>
  <si>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</si>
  <si>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</si>
  <si>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</si>
  <si>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</si>
  <si>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</si>
  <si>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</si>
  <si>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</si>
  <si>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</si>
  <si>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</si>
  <si>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</si>
  <si>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</si>
  <si>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</si>
  <si>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</si>
  <si>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</si>
  <si>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</si>
  <si>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</si>
  <si>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</si>
  <si>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</si>
  <si>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</si>
  <si>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</si>
  <si>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</si>
  <si>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</si>
  <si>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</si>
  <si>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</si>
  <si>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</si>
  <si>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</si>
  <si>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</si>
  <si>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</si>
  <si>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</si>
  <si>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</si>
  <si>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</si>
  <si>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</si>
  <si>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</si>
  <si>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</si>
  <si>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</si>
  <si>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</si>
  <si>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</si>
  <si>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</si>
  <si>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</si>
  <si>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</si>
  <si>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</si>
  <si>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</si>
  <si>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</si>
  <si>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</si>
  <si>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</si>
  <si>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</si>
  <si>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</si>
  <si>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</si>
  <si>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</si>
  <si>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</si>
  <si>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</si>
  <si>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</si>
  <si>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</si>
  <si>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</si>
  <si>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</si>
  <si>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</si>
  <si>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</si>
  <si>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</si>
  <si>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</si>
  <si>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</si>
  <si>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</si>
  <si>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</si>
  <si>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</si>
  <si>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</si>
  <si>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</si>
  <si>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</si>
  <si>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</si>
  <si>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</si>
  <si>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</si>
  <si>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</si>
  <si>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</si>
  <si>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</si>
  <si>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</si>
  <si>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</si>
  <si>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</si>
  <si>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</si>
  <si>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</si>
  <si>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</si>
  <si>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</si>
  <si>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</si>
  <si>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</si>
  <si>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</si>
  <si>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</si>
  <si>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</si>
  <si>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</si>
  <si>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</si>
  <si>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</si>
  <si>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</si>
  <si>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</si>
  <si>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</si>
  <si>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</si>
  <si>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</si>
  <si>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</si>
  <si>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</si>
  <si>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</si>
  <si>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</si>
  <si>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</si>
  <si>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</si>
  <si>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</si>
  <si>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</si>
  <si>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</si>
  <si>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</si>
  <si>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</si>
  <si>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</si>
  <si>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</si>
  <si>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</si>
  <si>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</si>
  <si>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</si>
  <si>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</si>
  <si>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</si>
  <si>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</si>
  <si>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</si>
  <si>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</si>
  <si>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</si>
  <si>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</si>
  <si>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</si>
  <si>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</si>
  <si>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</si>
  <si>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</si>
  <si>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</si>
  <si>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</si>
  <si>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</si>
  <si>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</si>
  <si>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</si>
  <si>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</si>
  <si>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</si>
  <si>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</si>
  <si>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</si>
  <si>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</si>
  <si>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</si>
  <si>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</si>
  <si>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</si>
  <si>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</si>
  <si>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</si>
  <si>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</si>
  <si>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</si>
  <si>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</si>
  <si>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</si>
  <si>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</si>
  <si>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</si>
  <si>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</si>
  <si>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</si>
  <si>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</si>
  <si>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</si>
  <si>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</si>
  <si>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</si>
  <si>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</si>
  <si>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</si>
  <si>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</si>
  <si>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</si>
  <si>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</si>
  <si>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</si>
  <si>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</si>
  <si>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</si>
  <si>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</si>
  <si>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</si>
  <si>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</si>
  <si>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</si>
  <si>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</si>
  <si>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</si>
  <si>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</si>
  <si>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</si>
  <si>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</si>
  <si>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</si>
  <si>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</si>
  <si>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</si>
  <si>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</si>
  <si>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</si>
  <si>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</si>
  <si>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</si>
  <si>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</si>
  <si>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</si>
  <si>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</si>
  <si>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</si>
  <si>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</si>
  <si>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</si>
  <si>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</si>
  <si>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</si>
  <si>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</si>
  <si>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</si>
  <si>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</si>
  <si>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</si>
  <si>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</si>
  <si>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</si>
  <si>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</si>
  <si>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</si>
  <si>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</si>
  <si>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</si>
  <si>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</si>
  <si>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</si>
  <si>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</si>
  <si>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</si>
  <si>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</si>
  <si>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</si>
  <si>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</si>
  <si>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</si>
  <si>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</si>
  <si>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</si>
  <si>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</si>
  <si>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</si>
  <si>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</si>
  <si>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</si>
  <si>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</si>
  <si>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</si>
  <si>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</si>
  <si>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</si>
  <si>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</si>
  <si>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</si>
  <si>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</si>
  <si>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</si>
  <si>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</si>
  <si>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</si>
  <si>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</si>
  <si>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</si>
  <si>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</si>
  <si>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</si>
  <si>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</si>
  <si>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</si>
  <si>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</si>
  <si>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</si>
  <si>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</si>
  <si>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</si>
  <si>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</si>
  <si>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</si>
  <si>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</si>
  <si>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</si>
  <si>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</si>
  <si>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</si>
  <si>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</si>
  <si>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</si>
  <si>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</si>
  <si>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</si>
  <si>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</si>
  <si>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</si>
  <si>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</si>
  <si>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</si>
  <si>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</si>
  <si>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</si>
  <si>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</si>
  <si>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</si>
  <si>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</si>
  <si>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</si>
  <si>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</si>
  <si>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</si>
  <si>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</si>
  <si>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</si>
  <si>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</si>
  <si>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</si>
  <si>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</si>
  <si>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</si>
  <si>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</si>
  <si>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</si>
  <si>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</si>
  <si>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</si>
  <si>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</si>
  <si>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</si>
  <si>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</si>
  <si>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</si>
  <si>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</si>
  <si>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</si>
  <si>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</si>
  <si>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</si>
  <si>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</si>
  <si>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</si>
  <si>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</si>
  <si>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</si>
  <si>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</si>
  <si>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</si>
  <si>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</si>
  <si>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</si>
  <si>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</si>
  <si>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</si>
  <si>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</si>
  <si>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</si>
  <si>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</si>
  <si>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</si>
  <si>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</si>
  <si>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</si>
  <si>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</si>
  <si>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</si>
  <si>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</si>
  <si>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</si>
  <si>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</si>
  <si>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</si>
  <si>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</si>
  <si>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</si>
  <si>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</si>
  <si>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</si>
  <si>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</si>
  <si>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</si>
  <si>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</si>
  <si>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</si>
  <si>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</si>
  <si>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</si>
  <si>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</si>
  <si>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</si>
  <si>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</si>
  <si>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</si>
  <si>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</si>
  <si>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</si>
  <si>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</si>
  <si>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</si>
  <si>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</si>
  <si>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</si>
  <si>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</si>
  <si>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</si>
  <si>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</si>
  <si>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</si>
  <si>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</si>
  <si>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</si>
  <si>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</si>
  <si>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</si>
  <si>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</si>
  <si>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</si>
  <si>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</si>
  <si>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</si>
  <si>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</si>
  <si>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</si>
  <si>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</si>
  <si>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</si>
  <si>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</si>
  <si>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</si>
  <si>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</si>
  <si>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</si>
  <si>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</si>
  <si>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</si>
  <si>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</si>
  <si>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</si>
  <si>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</si>
  <si>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</si>
  <si>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</si>
  <si>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</si>
  <si>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</si>
  <si>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</si>
  <si>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</si>
  <si>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</si>
  <si>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</si>
  <si>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</si>
  <si>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</si>
  <si>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</si>
  <si>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</si>
  <si>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</si>
  <si>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</si>
  <si>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</si>
  <si>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</si>
  <si>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</si>
  <si>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</si>
  <si>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</si>
  <si>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</si>
  <si>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</si>
  <si>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</si>
  <si>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</si>
  <si>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</si>
  <si>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</si>
  <si>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</si>
  <si>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</si>
  <si>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</si>
  <si>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</si>
  <si>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</si>
  <si>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</si>
  <si>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</si>
  <si>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</si>
  <si>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</si>
  <si>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</si>
  <si>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</si>
  <si>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</si>
  <si>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</si>
  <si>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</si>
  <si>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</si>
  <si>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</si>
  <si>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</si>
  <si>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</si>
  <si>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</si>
  <si>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</si>
  <si>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</si>
  <si>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</si>
  <si>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</si>
  <si>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</si>
  <si>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</si>
  <si>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</si>
  <si>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</si>
  <si>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</si>
  <si>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</si>
  <si>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</si>
  <si>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</si>
  <si>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</si>
  <si>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</si>
  <si>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</si>
  <si>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</si>
  <si>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</si>
  <si>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</si>
  <si>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</si>
  <si>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</si>
  <si>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</si>
  <si>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</si>
  <si>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</si>
  <si>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</si>
  <si>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</si>
  <si>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</si>
  <si>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</si>
  <si>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</si>
  <si>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</si>
  <si>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</si>
  <si>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</si>
  <si>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</si>
  <si>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</si>
  <si>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</si>
  <si>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</si>
  <si>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</si>
  <si>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</si>
  <si>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</si>
  <si>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</si>
  <si>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</si>
  <si>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</si>
  <si>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</si>
  <si>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</si>
  <si>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</si>
  <si>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</si>
  <si>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</si>
  <si>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</si>
  <si>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</si>
  <si>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</si>
  <si>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</si>
  <si>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</si>
  <si>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</si>
  <si>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</si>
  <si>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</si>
  <si>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</si>
  <si>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</si>
  <si>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</si>
  <si>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</si>
  <si>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</si>
  <si>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</si>
  <si>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</si>
  <si>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</si>
  <si>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</si>
  <si>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</si>
  <si>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</si>
  <si>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</si>
  <si>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</si>
  <si>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</si>
  <si>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</si>
  <si>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</si>
  <si>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</si>
  <si>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</si>
  <si>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</si>
  <si>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</si>
  <si>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</si>
  <si>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</si>
  <si>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</si>
  <si>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</si>
  <si>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</si>
  <si>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</si>
  <si>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</si>
  <si>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</si>
  <si>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</si>
  <si>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</si>
  <si>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</si>
  <si>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</si>
  <si>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</si>
  <si>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</si>
  <si>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</si>
  <si>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</si>
  <si>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</si>
  <si>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</si>
  <si>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</si>
  <si>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</si>
  <si>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</si>
  <si>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</si>
  <si>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</si>
  <si>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</si>
  <si>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</si>
  <si>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</si>
  <si>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</si>
  <si>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</si>
  <si>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</si>
  <si>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</si>
  <si>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</si>
  <si>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</si>
  <si>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</si>
  <si>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</si>
  <si>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</si>
  <si>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</si>
  <si>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</si>
  <si>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</si>
  <si>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</si>
  <si>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</si>
  <si>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</si>
  <si>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</si>
  <si>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</si>
  <si>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</si>
  <si>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</si>
  <si>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</si>
  <si>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</si>
  <si>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</si>
  <si>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</si>
  <si>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</si>
  <si>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</si>
  <si>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</si>
  <si>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</si>
  <si>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</si>
  <si>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</si>
  <si>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</si>
  <si>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</si>
  <si>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</si>
  <si>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</si>
  <si>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</si>
  <si>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</si>
  <si>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</si>
  <si>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</si>
  <si>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</si>
  <si>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</si>
  <si>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</si>
  <si>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</si>
  <si>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</si>
  <si>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</si>
  <si>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</si>
  <si>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</si>
  <si>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</si>
  <si>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</si>
  <si>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</si>
  <si>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</si>
  <si>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</si>
  <si>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</si>
  <si>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</si>
  <si>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</si>
  <si>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</si>
  <si>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</si>
  <si>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</si>
  <si>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</si>
  <si>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</si>
  <si>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</si>
  <si>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</si>
  <si>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</si>
  <si>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</si>
  <si>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</si>
  <si>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</si>
  <si>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</si>
  <si>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</si>
  <si>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</si>
  <si>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</si>
  <si>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</si>
  <si>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</si>
  <si>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</si>
  <si>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</si>
  <si>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</si>
  <si>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</si>
  <si>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</si>
  <si>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</si>
  <si>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</si>
  <si>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</si>
  <si>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</si>
  <si>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</si>
  <si>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</si>
  <si>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</si>
  <si>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</si>
  <si>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</si>
  <si>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</si>
  <si>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</si>
  <si>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</si>
  <si>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</si>
  <si>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</si>
  <si>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</si>
  <si>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</si>
  <si>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</si>
  <si>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</si>
  <si>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</si>
  <si>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</si>
  <si>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</si>
  <si>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</si>
  <si>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</si>
  <si>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</si>
  <si>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</si>
  <si>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</si>
  <si>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</si>
  <si>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</si>
  <si>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</si>
  <si>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</si>
  <si>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</si>
  <si>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</si>
  <si>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</si>
  <si>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</si>
  <si>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</si>
  <si>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</si>
  <si>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</si>
  <si>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</si>
  <si>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</si>
  <si>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</si>
  <si>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</si>
  <si>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</si>
  <si>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</si>
  <si>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</si>
  <si>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</si>
  <si>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</si>
  <si>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</si>
  <si>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</si>
  <si>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</si>
  <si>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</si>
  <si>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</si>
  <si>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</si>
  <si>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</si>
  <si>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</si>
  <si>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</si>
  <si>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</si>
  <si>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</si>
  <si>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</si>
  <si>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</si>
  <si>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</si>
  <si>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</si>
  <si>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</si>
  <si>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</si>
  <si>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</si>
  <si>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</si>
  <si>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</si>
  <si>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</si>
  <si>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</si>
  <si>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</si>
  <si>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</si>
  <si>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</si>
  <si>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</si>
  <si>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</si>
  <si>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</si>
  <si>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</si>
  <si>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</si>
  <si>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</si>
  <si>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</si>
  <si>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</si>
  <si>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</si>
  <si>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</si>
  <si>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</si>
  <si>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</si>
  <si>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</si>
  <si>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</si>
  <si>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</si>
  <si>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</si>
  <si>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</si>
  <si>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</si>
  <si>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</si>
  <si>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</si>
  <si>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</si>
  <si>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</si>
  <si>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</si>
  <si>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</si>
  <si>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</si>
  <si>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</si>
  <si>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</si>
  <si>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</si>
  <si>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</si>
  <si>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</si>
  <si>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</si>
  <si>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</si>
  <si>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</si>
  <si>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</si>
  <si>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</si>
  <si>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</si>
  <si>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</si>
  <si>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</si>
  <si>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</si>
  <si>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</si>
  <si>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</si>
  <si>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</si>
  <si>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</si>
  <si>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</si>
  <si>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</si>
  <si>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</si>
  <si>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</si>
  <si>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</si>
  <si>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</si>
  <si>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</si>
  <si>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</si>
  <si>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</si>
  <si>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</si>
  <si>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</si>
  <si>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</si>
  <si>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</si>
  <si>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</si>
  <si>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</si>
  <si>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</si>
  <si>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</si>
  <si>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</si>
  <si>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</si>
  <si>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</si>
  <si>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</si>
  <si>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</si>
  <si>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</si>
  <si>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</si>
  <si>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</si>
  <si>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</si>
  <si>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</si>
  <si>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</si>
  <si>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</si>
  <si>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</si>
  <si>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</si>
  <si>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</si>
  <si>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</si>
  <si>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</si>
  <si>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</si>
  <si>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</si>
  <si>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</si>
  <si>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</si>
  <si>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</si>
  <si>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</si>
  <si>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</si>
  <si>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</si>
  <si>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</si>
  <si>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</si>
  <si>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</si>
  <si>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</si>
  <si>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</si>
  <si>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</si>
  <si>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</si>
  <si>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</si>
  <si>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</si>
  <si>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</si>
  <si>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</si>
  <si>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</si>
  <si>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</si>
  <si>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</si>
  <si>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</si>
  <si>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</si>
  <si>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</si>
  <si>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</si>
  <si>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</si>
  <si>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</si>
  <si>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</si>
  <si>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</si>
  <si>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</si>
  <si>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</si>
  <si>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</si>
  <si>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</si>
  <si>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</si>
  <si>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</si>
  <si>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</si>
  <si>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</si>
  <si>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</si>
  <si>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</si>
  <si>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</si>
  <si>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</si>
  <si>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</si>
  <si>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</si>
  <si>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</si>
  <si>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</si>
  <si>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</si>
  <si>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</si>
  <si>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</si>
  <si>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</si>
  <si>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</si>
  <si>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</si>
  <si>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</si>
  <si>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</si>
  <si>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</si>
  <si>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</si>
  <si>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</si>
  <si>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</si>
  <si>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</si>
  <si>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</si>
  <si>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</si>
  <si>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</si>
  <si>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</si>
  <si>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</si>
  <si>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</si>
  <si>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</si>
  <si>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</si>
  <si>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</si>
  <si>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</si>
  <si>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</si>
  <si>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</si>
  <si>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</si>
  <si>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</si>
  <si>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</si>
  <si>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</si>
  <si>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</si>
  <si>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</si>
  <si>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</si>
  <si>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</si>
  <si>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</si>
  <si>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</si>
  <si>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</si>
  <si>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</si>
  <si>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</si>
  <si>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</si>
  <si>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</si>
  <si>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</si>
  <si>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</si>
  <si>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</si>
  <si>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</si>
  <si>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</si>
  <si>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</si>
  <si>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</si>
  <si>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</si>
  <si>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</si>
  <si>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</si>
  <si>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</si>
  <si>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</si>
  <si>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</si>
  <si>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</si>
  <si>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</si>
  <si>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</si>
  <si>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</si>
  <si>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</si>
  <si>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</si>
  <si>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</si>
  <si>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</si>
  <si>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</si>
  <si>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</si>
  <si>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</si>
  <si>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</si>
  <si>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</si>
  <si>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</si>
  <si>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</si>
  <si>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</si>
  <si>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</si>
  <si>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</si>
  <si>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</si>
  <si>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</si>
  <si>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</si>
  <si>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</si>
  <si>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</si>
  <si>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</si>
  <si>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</si>
  <si>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</si>
  <si>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</si>
  <si>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</si>
  <si>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</si>
  <si>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</si>
  <si>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</si>
  <si>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</si>
  <si>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</si>
  <si>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</si>
  <si>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</si>
  <si>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</si>
  <si>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</si>
  <si>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</si>
  <si>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</si>
  <si>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</si>
  <si>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</si>
  <si>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</si>
  <si>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</si>
  <si>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</si>
  <si>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</si>
  <si>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</si>
  <si>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</si>
  <si>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</si>
  <si>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</si>
  <si>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</si>
  <si>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</si>
  <si>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</si>
  <si>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ALLENSTOWN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</si>
</sst>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9</v>
      </c>
      <c r="C2" s="21">
        <v>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1231436.1200000001</v>
      </c>
      <c r="G9" s="18"/>
      <c r="H9" s="18"/>
      <c r="I9" s="18"/>
      <c r="J9" s="67">
        <f>SUM(I438)</f>
        <v>115647.14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65920.009999999995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136217.60000000001</v>
      </c>
      <c r="G13" s="18">
        <v>18173.759999999998</v>
      </c>
      <c r="H13" s="18">
        <v>47389.13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4476.16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13200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1433573.7300000002</v>
      </c>
      <c r="G19" s="41">
        <f>SUM(G9:G18)</f>
        <v>22649.919999999998</v>
      </c>
      <c r="H19" s="41">
        <f>SUM(H9:H18)</f>
        <v>60589.13</v>
      </c>
      <c r="I19" s="41">
        <f>SUM(I9:I18)</f>
        <v>0</v>
      </c>
      <c r="J19" s="41">
        <f>SUM(J9:J18)</f>
        <v>115647.14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10951.26</v>
      </c>
      <c r="H22" s="18">
        <v>54968.75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324530.63</v>
      </c>
      <c r="G23" s="18">
        <v>1698.66</v>
      </c>
      <c r="H23" s="18">
        <v>5620.38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19773.650000000001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92588.14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436892.42000000004</v>
      </c>
      <c r="G32" s="41">
        <f>SUM(G22:G31)</f>
        <v>12649.92</v>
      </c>
      <c r="H32" s="41">
        <f>SUM(H22:H31)</f>
        <v>60589.13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115647.14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996681.31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996681.31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115647.14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1433573.73</v>
      </c>
      <c r="G51" s="41">
        <f>G50+G32</f>
        <v>22649.919999999998</v>
      </c>
      <c r="H51" s="41">
        <f>H50+H32</f>
        <v>60589.13</v>
      </c>
      <c r="I51" s="41">
        <f>I50+I32</f>
        <v>0</v>
      </c>
      <c r="J51" s="41">
        <f>J50+J32</f>
        <v>115647.14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4353956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4353956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2725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2725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1263.75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1263.75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153.01</v>
      </c>
      <c r="G95" s="18"/>
      <c r="H95" s="18"/>
      <c r="I95" s="18"/>
      <c r="J95" s="18">
        <v>1768.61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54946.11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2400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17680.45</v>
      </c>
      <c r="G109" s="18">
        <v>0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20233.46</v>
      </c>
      <c r="G110" s="41">
        <f>SUM(G95:G109)</f>
        <v>54946.11</v>
      </c>
      <c r="H110" s="41">
        <f>SUM(H95:H109)</f>
        <v>0</v>
      </c>
      <c r="I110" s="41">
        <f>SUM(I95:I109)</f>
        <v>0</v>
      </c>
      <c r="J110" s="41">
        <f>SUM(J95:J109)</f>
        <v>1768.61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4378178.21</v>
      </c>
      <c r="G111" s="41">
        <f>G59+G110</f>
        <v>54946.11</v>
      </c>
      <c r="H111" s="41">
        <f>H59+H78+H93+H110</f>
        <v>0</v>
      </c>
      <c r="I111" s="41">
        <f>I59+I110</f>
        <v>0</v>
      </c>
      <c r="J111" s="41">
        <f>J59+J110</f>
        <v>1768.61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4393228.5599999996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606812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3806.44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5003847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7979.78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2059.16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5440.9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13420.68</v>
      </c>
      <c r="G135" s="41">
        <f>SUM(G122:G134)</f>
        <v>2059.16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5017267.68</v>
      </c>
      <c r="G139" s="41">
        <f>G120+SUM(G135:G136)</f>
        <v>2059.16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146906.31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53786.53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101563.25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205372.62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12263.44</v>
      </c>
      <c r="H160" s="18">
        <v>108804.51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205372.62</v>
      </c>
      <c r="G161" s="41">
        <f>SUM(G149:G160)</f>
        <v>113826.69</v>
      </c>
      <c r="H161" s="41">
        <f>SUM(H149:H160)</f>
        <v>309497.34999999998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205372.62</v>
      </c>
      <c r="G168" s="41">
        <f>G146+G161+SUM(G162:G167)</f>
        <v>113826.69</v>
      </c>
      <c r="H168" s="41">
        <f>H146+H161+SUM(H162:H167)</f>
        <v>309497.34999999998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13387.45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13387.45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13387.45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9600818.5099999998</v>
      </c>
      <c r="G192" s="47">
        <f>G111+G139+G168+G191</f>
        <v>184219.41000000003</v>
      </c>
      <c r="H192" s="47">
        <f>H111+H139+H168+H191</f>
        <v>309497.34999999998</v>
      </c>
      <c r="I192" s="47">
        <f>I111+I139+I168+I191</f>
        <v>0</v>
      </c>
      <c r="J192" s="47">
        <f>J111+J139+J191</f>
        <v>1768.61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1758624.91</v>
      </c>
      <c r="G196" s="18">
        <v>687923.93</v>
      </c>
      <c r="H196" s="18">
        <v>6209.45</v>
      </c>
      <c r="I196" s="18">
        <v>71366.81</v>
      </c>
      <c r="J196" s="18">
        <v>52866.86</v>
      </c>
      <c r="K196" s="18">
        <v>0</v>
      </c>
      <c r="L196" s="19">
        <f>SUM(F196:K196)</f>
        <v>2576991.96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679204.45</v>
      </c>
      <c r="G197" s="18">
        <v>266621.3</v>
      </c>
      <c r="H197" s="18">
        <v>197720.52</v>
      </c>
      <c r="I197" s="18">
        <v>9390.4699999999993</v>
      </c>
      <c r="J197" s="18">
        <v>4860.0200000000004</v>
      </c>
      <c r="K197" s="18">
        <v>322</v>
      </c>
      <c r="L197" s="19">
        <f>SUM(F197:K197)</f>
        <v>1158118.76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23274</v>
      </c>
      <c r="G199" s="18">
        <v>8629.8700000000008</v>
      </c>
      <c r="H199" s="18">
        <v>3450</v>
      </c>
      <c r="I199" s="18">
        <v>1661.54</v>
      </c>
      <c r="J199" s="18">
        <v>1246</v>
      </c>
      <c r="K199" s="18">
        <v>1075</v>
      </c>
      <c r="L199" s="19">
        <f>SUM(F199:K199)</f>
        <v>39336.410000000003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255655</v>
      </c>
      <c r="G201" s="18">
        <v>99859.93</v>
      </c>
      <c r="H201" s="18">
        <v>447130.93</v>
      </c>
      <c r="I201" s="18">
        <v>6807.19</v>
      </c>
      <c r="J201" s="18">
        <v>213.23</v>
      </c>
      <c r="K201" s="18">
        <v>617.76</v>
      </c>
      <c r="L201" s="19">
        <f t="shared" ref="L201:L207" si="0">SUM(F201:K201)</f>
        <v>810284.03999999992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66300.78</v>
      </c>
      <c r="G202" s="18">
        <v>33291.11</v>
      </c>
      <c r="H202" s="18">
        <v>10935.19</v>
      </c>
      <c r="I202" s="18">
        <v>9456.5400000000009</v>
      </c>
      <c r="J202" s="18">
        <v>0</v>
      </c>
      <c r="K202" s="18">
        <v>184</v>
      </c>
      <c r="L202" s="19">
        <f t="shared" si="0"/>
        <v>120167.62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9360.67</v>
      </c>
      <c r="G203" s="18">
        <v>3698.52</v>
      </c>
      <c r="H203" s="18">
        <v>187840.85</v>
      </c>
      <c r="I203" s="18">
        <v>2747.56</v>
      </c>
      <c r="J203" s="18"/>
      <c r="K203" s="18">
        <v>5071.9799999999996</v>
      </c>
      <c r="L203" s="19">
        <f t="shared" si="0"/>
        <v>208719.58000000002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235144.44</v>
      </c>
      <c r="G204" s="18">
        <v>92462.89</v>
      </c>
      <c r="H204" s="18">
        <v>12332.01</v>
      </c>
      <c r="I204" s="18">
        <v>12299.12</v>
      </c>
      <c r="J204" s="18">
        <v>1625.7</v>
      </c>
      <c r="K204" s="18">
        <v>6127.06</v>
      </c>
      <c r="L204" s="19">
        <f t="shared" si="0"/>
        <v>359991.22000000003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124860.94</v>
      </c>
      <c r="G206" s="18">
        <v>49313.54</v>
      </c>
      <c r="H206" s="18">
        <v>250214.28</v>
      </c>
      <c r="I206" s="18">
        <v>94382.44</v>
      </c>
      <c r="J206" s="18">
        <v>11721.96</v>
      </c>
      <c r="K206" s="18">
        <v>0</v>
      </c>
      <c r="L206" s="19">
        <f t="shared" si="0"/>
        <v>530493.16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298035.31</v>
      </c>
      <c r="I207" s="18">
        <v>0</v>
      </c>
      <c r="J207" s="18"/>
      <c r="K207" s="18"/>
      <c r="L207" s="19">
        <f t="shared" si="0"/>
        <v>298035.31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3152425.1899999995</v>
      </c>
      <c r="G210" s="41">
        <f t="shared" si="1"/>
        <v>1241801.0900000001</v>
      </c>
      <c r="H210" s="41">
        <f t="shared" si="1"/>
        <v>1413868.54</v>
      </c>
      <c r="I210" s="41">
        <f t="shared" si="1"/>
        <v>208111.66999999998</v>
      </c>
      <c r="J210" s="41">
        <f t="shared" si="1"/>
        <v>72533.77</v>
      </c>
      <c r="K210" s="41">
        <f t="shared" si="1"/>
        <v>13397.8</v>
      </c>
      <c r="L210" s="41">
        <f t="shared" si="1"/>
        <v>6102138.0599999996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1703117</v>
      </c>
      <c r="I232" s="18"/>
      <c r="J232" s="18"/>
      <c r="K232" s="18"/>
      <c r="L232" s="19">
        <f>SUM(F232:K232)</f>
        <v>1703117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836590.86</v>
      </c>
      <c r="I233" s="18"/>
      <c r="J233" s="18"/>
      <c r="K233" s="18"/>
      <c r="L233" s="19">
        <f>SUM(F233:K233)</f>
        <v>836590.86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48647.56</v>
      </c>
      <c r="I237" s="18"/>
      <c r="J237" s="18"/>
      <c r="K237" s="18"/>
      <c r="L237" s="19">
        <f t="shared" ref="L237:L243" si="4">SUM(F237:K237)</f>
        <v>48647.56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19303.259999999998</v>
      </c>
      <c r="I243" s="18"/>
      <c r="J243" s="18"/>
      <c r="K243" s="18"/>
      <c r="L243" s="19">
        <f t="shared" si="4"/>
        <v>19303.259999999998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2607658.6799999997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2607658.6799999997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3152425.1899999995</v>
      </c>
      <c r="G256" s="41">
        <f t="shared" si="8"/>
        <v>1241801.0900000001</v>
      </c>
      <c r="H256" s="41">
        <f t="shared" si="8"/>
        <v>4021527.2199999997</v>
      </c>
      <c r="I256" s="41">
        <f t="shared" si="8"/>
        <v>208111.66999999998</v>
      </c>
      <c r="J256" s="41">
        <f t="shared" si="8"/>
        <v>72533.77</v>
      </c>
      <c r="K256" s="41">
        <f t="shared" si="8"/>
        <v>13397.8</v>
      </c>
      <c r="L256" s="41">
        <f t="shared" si="8"/>
        <v>8709796.7399999984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13387.45</v>
      </c>
      <c r="L262" s="19">
        <f>SUM(F262:K262)</f>
        <v>13387.45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13387.45</v>
      </c>
      <c r="L269" s="41">
        <f t="shared" si="9"/>
        <v>13387.45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3152425.1899999995</v>
      </c>
      <c r="G270" s="42">
        <f t="shared" si="11"/>
        <v>1241801.0900000001</v>
      </c>
      <c r="H270" s="42">
        <f t="shared" si="11"/>
        <v>4021527.2199999997</v>
      </c>
      <c r="I270" s="42">
        <f t="shared" si="11"/>
        <v>208111.66999999998</v>
      </c>
      <c r="J270" s="42">
        <f t="shared" si="11"/>
        <v>72533.77</v>
      </c>
      <c r="K270" s="42">
        <f t="shared" si="11"/>
        <v>26785.25</v>
      </c>
      <c r="L270" s="42">
        <f t="shared" si="11"/>
        <v>8723184.1899999976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102402.24000000001</v>
      </c>
      <c r="G275" s="18">
        <v>125976.96000000001</v>
      </c>
      <c r="H275" s="18">
        <v>0</v>
      </c>
      <c r="I275" s="18">
        <v>1687.65</v>
      </c>
      <c r="J275" s="18">
        <v>0</v>
      </c>
      <c r="K275" s="18"/>
      <c r="L275" s="19">
        <f>SUM(F275:K275)</f>
        <v>230066.85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0</v>
      </c>
      <c r="I276" s="18" t="s">
        <v>287</v>
      </c>
      <c r="J276" s="18">
        <v>20701.849999999999</v>
      </c>
      <c r="K276" s="18"/>
      <c r="L276" s="19">
        <f>SUM(F276:K276)</f>
        <v>20701.849999999999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0</v>
      </c>
      <c r="I280" s="18" t="s">
        <v>287</v>
      </c>
      <c r="J280" s="18"/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75</v>
      </c>
      <c r="G281" s="18">
        <v>6.77</v>
      </c>
      <c r="H281" s="18">
        <v>54232.2</v>
      </c>
      <c r="I281" s="18">
        <v>1003.62</v>
      </c>
      <c r="J281" s="18"/>
      <c r="K281" s="18"/>
      <c r="L281" s="19">
        <f t="shared" si="12"/>
        <v>55317.59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3411.06</v>
      </c>
      <c r="L282" s="19">
        <f t="shared" si="12"/>
        <v>3411.06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/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102477.24</v>
      </c>
      <c r="G289" s="42">
        <f t="shared" si="13"/>
        <v>125983.73000000001</v>
      </c>
      <c r="H289" s="42">
        <f t="shared" si="13"/>
        <v>54232.2</v>
      </c>
      <c r="I289" s="42">
        <f t="shared" si="13"/>
        <v>2691.27</v>
      </c>
      <c r="J289" s="42">
        <f t="shared" si="13"/>
        <v>20701.849999999999</v>
      </c>
      <c r="K289" s="42">
        <f t="shared" si="13"/>
        <v>3411.06</v>
      </c>
      <c r="L289" s="41">
        <f t="shared" si="13"/>
        <v>309497.35000000003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102477.24</v>
      </c>
      <c r="G337" s="41">
        <f t="shared" si="20"/>
        <v>125983.73000000001</v>
      </c>
      <c r="H337" s="41">
        <f t="shared" si="20"/>
        <v>54232.2</v>
      </c>
      <c r="I337" s="41">
        <f t="shared" si="20"/>
        <v>2691.27</v>
      </c>
      <c r="J337" s="41">
        <f t="shared" si="20"/>
        <v>20701.849999999999</v>
      </c>
      <c r="K337" s="41">
        <f t="shared" si="20"/>
        <v>3411.06</v>
      </c>
      <c r="L337" s="41">
        <f t="shared" si="20"/>
        <v>309497.35000000003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102477.24</v>
      </c>
      <c r="G351" s="41">
        <f>G337</f>
        <v>125983.73000000001</v>
      </c>
      <c r="H351" s="41">
        <f>H337</f>
        <v>54232.2</v>
      </c>
      <c r="I351" s="41">
        <f>I337</f>
        <v>2691.27</v>
      </c>
      <c r="J351" s="41">
        <f>J337</f>
        <v>20701.849999999999</v>
      </c>
      <c r="K351" s="47">
        <f>K337+K350</f>
        <v>3411.06</v>
      </c>
      <c r="L351" s="41">
        <f>L337+L350</f>
        <v>309497.35000000003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69683.48</v>
      </c>
      <c r="G357" s="18">
        <v>7882.99</v>
      </c>
      <c r="H357" s="18">
        <v>8314.36</v>
      </c>
      <c r="I357" s="18">
        <v>95921.24</v>
      </c>
      <c r="J357" s="18">
        <v>1900</v>
      </c>
      <c r="K357" s="18">
        <v>517.34</v>
      </c>
      <c r="L357" s="13">
        <f>SUM(F357:K357)</f>
        <v>184219.41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69683.48</v>
      </c>
      <c r="G361" s="47">
        <f t="shared" si="22"/>
        <v>7882.99</v>
      </c>
      <c r="H361" s="47">
        <f t="shared" si="22"/>
        <v>8314.36</v>
      </c>
      <c r="I361" s="47">
        <f t="shared" si="22"/>
        <v>95921.24</v>
      </c>
      <c r="J361" s="47">
        <f t="shared" si="22"/>
        <v>1900</v>
      </c>
      <c r="K361" s="47">
        <f t="shared" si="22"/>
        <v>517.34</v>
      </c>
      <c r="L361" s="47">
        <f t="shared" si="22"/>
        <v>184219.41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86940.82</v>
      </c>
      <c r="G366" s="18"/>
      <c r="H366" s="18"/>
      <c r="I366" s="56">
        <f>SUM(F366:H366)</f>
        <v>86940.82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8980.42</v>
      </c>
      <c r="G367" s="63"/>
      <c r="H367" s="63"/>
      <c r="I367" s="56">
        <f>SUM(F367:H367)</f>
        <v>8980.42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95921.24</v>
      </c>
      <c r="G368" s="47">
        <f>SUM(G366:G367)</f>
        <v>0</v>
      </c>
      <c r="H368" s="47">
        <f>SUM(H366:H367)</f>
        <v>0</v>
      </c>
      <c r="I368" s="47">
        <f>SUM(I366:I367)</f>
        <v>95921.24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83.81</v>
      </c>
      <c r="I388" s="18"/>
      <c r="J388" s="24" t="s">
        <v>289</v>
      </c>
      <c r="K388" s="24" t="s">
        <v>289</v>
      </c>
      <c r="L388" s="56">
        <f t="shared" si="25"/>
        <v>83.81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83.81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83.81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497.24</v>
      </c>
      <c r="I395" s="18"/>
      <c r="J395" s="24" t="s">
        <v>289</v>
      </c>
      <c r="K395" s="24" t="s">
        <v>289</v>
      </c>
      <c r="L395" s="56">
        <f t="shared" si="26"/>
        <v>497.24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700.94</v>
      </c>
      <c r="I396" s="18"/>
      <c r="J396" s="24" t="s">
        <v>289</v>
      </c>
      <c r="K396" s="24" t="s">
        <v>289</v>
      </c>
      <c r="L396" s="56">
        <f t="shared" si="26"/>
        <v>700.94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332.35</v>
      </c>
      <c r="I397" s="18"/>
      <c r="J397" s="24" t="s">
        <v>289</v>
      </c>
      <c r="K397" s="24" t="s">
        <v>289</v>
      </c>
      <c r="L397" s="56">
        <f t="shared" si="26"/>
        <v>332.35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154.27000000000001</v>
      </c>
      <c r="I398" s="18"/>
      <c r="J398" s="24" t="s">
        <v>289</v>
      </c>
      <c r="K398" s="24" t="s">
        <v>289</v>
      </c>
      <c r="L398" s="56">
        <f t="shared" si="26"/>
        <v>154.27000000000001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1684.8000000000002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1684.8000000000002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1768.6100000000001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1768.6100000000001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5438.66</v>
      </c>
      <c r="G438" s="18">
        <v>110208.48</v>
      </c>
      <c r="H438" s="18"/>
      <c r="I438" s="56">
        <f t="shared" ref="I438:I444" si="33">SUM(F438:H438)</f>
        <v>115647.14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5438.66</v>
      </c>
      <c r="G445" s="13">
        <f>SUM(G438:G444)</f>
        <v>110208.48</v>
      </c>
      <c r="H445" s="13">
        <f>SUM(H438:H444)</f>
        <v>0</v>
      </c>
      <c r="I445" s="13">
        <f>SUM(I438:I444)</f>
        <v>115647.14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5438.66</v>
      </c>
      <c r="G458" s="18">
        <v>110208.48</v>
      </c>
      <c r="H458" s="18"/>
      <c r="I458" s="56">
        <f t="shared" si="34"/>
        <v>115647.14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5438.66</v>
      </c>
      <c r="G459" s="83">
        <f>SUM(G453:G458)</f>
        <v>110208.48</v>
      </c>
      <c r="H459" s="83">
        <f>SUM(H453:H458)</f>
        <v>0</v>
      </c>
      <c r="I459" s="83">
        <f>SUM(I453:I458)</f>
        <v>115647.14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5438.66</v>
      </c>
      <c r="G460" s="42">
        <f>G451+G459</f>
        <v>110208.48</v>
      </c>
      <c r="H460" s="42">
        <f>H451+H459</f>
        <v>0</v>
      </c>
      <c r="I460" s="42">
        <f>I451+I459</f>
        <v>115647.14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119046.99</v>
      </c>
      <c r="G464" s="18">
        <v>10000</v>
      </c>
      <c r="H464" s="18">
        <v>0</v>
      </c>
      <c r="I464" s="18"/>
      <c r="J464" s="18">
        <v>113878.53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9600818.5099999998</v>
      </c>
      <c r="G467" s="18">
        <v>184219.41</v>
      </c>
      <c r="H467" s="18">
        <v>309497.34999999998</v>
      </c>
      <c r="I467" s="18"/>
      <c r="J467" s="18">
        <v>1768.61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9600818.5099999998</v>
      </c>
      <c r="G469" s="53">
        <f>SUM(G467:G468)</f>
        <v>184219.41</v>
      </c>
      <c r="H469" s="53">
        <f>SUM(H467:H468)</f>
        <v>309497.34999999998</v>
      </c>
      <c r="I469" s="53">
        <f>SUM(I467:I468)</f>
        <v>0</v>
      </c>
      <c r="J469" s="53">
        <f>SUM(J467:J468)</f>
        <v>1768.61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8723184.1899999995</v>
      </c>
      <c r="G471" s="18">
        <v>184219.41</v>
      </c>
      <c r="H471" s="18">
        <v>309497.34999999998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8723184.1899999995</v>
      </c>
      <c r="G473" s="53">
        <f>SUM(G471:G472)</f>
        <v>184219.41</v>
      </c>
      <c r="H473" s="53">
        <f>SUM(H471:H472)</f>
        <v>309497.34999999998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996681.31000000052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115647.14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14234.57</v>
      </c>
      <c r="G506" s="144">
        <v>6665.74</v>
      </c>
      <c r="H506" s="144">
        <v>-1126.6600000000001</v>
      </c>
      <c r="I506" s="144">
        <v>19773.650000000001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679204.45</v>
      </c>
      <c r="G520" s="18">
        <v>266621.3</v>
      </c>
      <c r="H520" s="18">
        <v>344376.73</v>
      </c>
      <c r="I520" s="18">
        <v>9390.4699999999993</v>
      </c>
      <c r="J520" s="18">
        <v>25561.87</v>
      </c>
      <c r="K520" s="18">
        <v>322</v>
      </c>
      <c r="L520" s="88">
        <f>SUM(F520:K520)</f>
        <v>1325476.82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685093.48</v>
      </c>
      <c r="I522" s="18"/>
      <c r="J522" s="18"/>
      <c r="K522" s="18"/>
      <c r="L522" s="88">
        <f>SUM(F522:K522)</f>
        <v>685093.48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679204.45</v>
      </c>
      <c r="G523" s="108">
        <f t="shared" ref="G523:L523" si="36">SUM(G520:G522)</f>
        <v>266621.3</v>
      </c>
      <c r="H523" s="108">
        <f t="shared" si="36"/>
        <v>1029470.21</v>
      </c>
      <c r="I523" s="108">
        <f t="shared" si="36"/>
        <v>9390.4699999999993</v>
      </c>
      <c r="J523" s="108">
        <f t="shared" si="36"/>
        <v>25561.87</v>
      </c>
      <c r="K523" s="108">
        <f t="shared" si="36"/>
        <v>322</v>
      </c>
      <c r="L523" s="89">
        <f t="shared" si="36"/>
        <v>2010570.3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294311.71999999997</v>
      </c>
      <c r="I525" s="18"/>
      <c r="J525" s="18"/>
      <c r="K525" s="18"/>
      <c r="L525" s="88">
        <f>SUM(F525:K525)</f>
        <v>294311.71999999997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200144.94</v>
      </c>
      <c r="I527" s="18"/>
      <c r="J527" s="18"/>
      <c r="K527" s="18"/>
      <c r="L527" s="88">
        <f>SUM(F527:K527)</f>
        <v>200144.94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494456.66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494456.66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318.72000000000003</v>
      </c>
      <c r="I530" s="18"/>
      <c r="J530" s="18"/>
      <c r="K530" s="18"/>
      <c r="L530" s="88">
        <f>SUM(F530:K530)</f>
        <v>318.72000000000003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318.72000000000003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318.72000000000003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148995.63</v>
      </c>
      <c r="I540" s="18"/>
      <c r="J540" s="18"/>
      <c r="K540" s="18"/>
      <c r="L540" s="88">
        <f>SUM(F540:K540)</f>
        <v>148995.63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19303.259999999998</v>
      </c>
      <c r="I542" s="18"/>
      <c r="J542" s="18"/>
      <c r="K542" s="18"/>
      <c r="L542" s="88">
        <f>SUM(F542:K542)</f>
        <v>19303.259999999998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168298.89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168298.89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679204.45</v>
      </c>
      <c r="G544" s="89">
        <f t="shared" ref="G544:L544" si="41">G523+G528+G533+G538+G543</f>
        <v>266621.3</v>
      </c>
      <c r="H544" s="89">
        <f t="shared" si="41"/>
        <v>1692544.48</v>
      </c>
      <c r="I544" s="89">
        <f t="shared" si="41"/>
        <v>9390.4699999999993</v>
      </c>
      <c r="J544" s="89">
        <f t="shared" si="41"/>
        <v>25561.87</v>
      </c>
      <c r="K544" s="89">
        <f t="shared" si="41"/>
        <v>322</v>
      </c>
      <c r="L544" s="89">
        <f t="shared" si="41"/>
        <v>2673644.5700000003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1325476.82</v>
      </c>
      <c r="G548" s="87">
        <f>L525</f>
        <v>294311.71999999997</v>
      </c>
      <c r="H548" s="87">
        <f>L530</f>
        <v>318.72000000000003</v>
      </c>
      <c r="I548" s="87">
        <f>L535</f>
        <v>0</v>
      </c>
      <c r="J548" s="87">
        <f>L540</f>
        <v>148995.63</v>
      </c>
      <c r="K548" s="87">
        <f>SUM(F548:J548)</f>
        <v>1769102.8900000001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685093.48</v>
      </c>
      <c r="G550" s="87">
        <f>L527</f>
        <v>200144.94</v>
      </c>
      <c r="H550" s="87">
        <f>L532</f>
        <v>0</v>
      </c>
      <c r="I550" s="87">
        <f>L537</f>
        <v>0</v>
      </c>
      <c r="J550" s="87">
        <f>L542</f>
        <v>19303.259999999998</v>
      </c>
      <c r="K550" s="87">
        <f>SUM(F550:J550)</f>
        <v>904541.67999999993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2010570.3</v>
      </c>
      <c r="G551" s="89">
        <f t="shared" si="42"/>
        <v>494456.66</v>
      </c>
      <c r="H551" s="89">
        <f t="shared" si="42"/>
        <v>318.72000000000003</v>
      </c>
      <c r="I551" s="89">
        <f t="shared" si="42"/>
        <v>0</v>
      </c>
      <c r="J551" s="89">
        <f t="shared" si="42"/>
        <v>168298.89</v>
      </c>
      <c r="K551" s="89">
        <f t="shared" si="42"/>
        <v>2673644.5700000003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5568.77</v>
      </c>
      <c r="G561" s="18">
        <v>2178.34</v>
      </c>
      <c r="H561" s="18">
        <v>5746.88</v>
      </c>
      <c r="I561" s="18"/>
      <c r="J561" s="18"/>
      <c r="K561" s="18"/>
      <c r="L561" s="88">
        <f>SUM(F561:K561)</f>
        <v>13493.990000000002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5568.77</v>
      </c>
      <c r="G564" s="89">
        <f t="shared" si="44"/>
        <v>2178.34</v>
      </c>
      <c r="H564" s="89">
        <f t="shared" si="44"/>
        <v>5746.88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13493.990000000002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1492.28</v>
      </c>
      <c r="I566" s="18"/>
      <c r="J566" s="18"/>
      <c r="K566" s="18"/>
      <c r="L566" s="88">
        <f>SUM(F566:K566)</f>
        <v>1492.28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1492.28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1492.28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5568.77</v>
      </c>
      <c r="G570" s="89">
        <f t="shared" ref="G570:L570" si="46">G559+G564+G569</f>
        <v>2178.34</v>
      </c>
      <c r="H570" s="89">
        <f t="shared" si="46"/>
        <v>7239.16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14986.270000000002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1703117</v>
      </c>
      <c r="I574" s="87">
        <f>SUM(F574:H574)</f>
        <v>1703117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183098.05</v>
      </c>
      <c r="G578" s="18"/>
      <c r="H578" s="18">
        <v>637504.16</v>
      </c>
      <c r="I578" s="87">
        <f t="shared" si="47"/>
        <v>820602.21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208168</v>
      </c>
      <c r="I582" s="87">
        <f t="shared" si="47"/>
        <v>208168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136745.69</v>
      </c>
      <c r="I590" s="18"/>
      <c r="J590" s="18"/>
      <c r="K590" s="104">
        <f t="shared" ref="K590:K596" si="48">SUM(H590:J590)</f>
        <v>136745.69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148995.63</v>
      </c>
      <c r="I591" s="18"/>
      <c r="J591" s="18">
        <v>19303.259999999998</v>
      </c>
      <c r="K591" s="104">
        <f t="shared" si="48"/>
        <v>168298.89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2860.07</v>
      </c>
      <c r="I593" s="18"/>
      <c r="J593" s="18"/>
      <c r="K593" s="104">
        <f t="shared" si="48"/>
        <v>2860.07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9433.92</v>
      </c>
      <c r="I594" s="18"/>
      <c r="J594" s="18"/>
      <c r="K594" s="104">
        <f t="shared" si="48"/>
        <v>9433.92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298035.31</v>
      </c>
      <c r="I597" s="108">
        <f>SUM(I590:I596)</f>
        <v>0</v>
      </c>
      <c r="J597" s="108">
        <f>SUM(J590:J596)</f>
        <v>19303.259999999998</v>
      </c>
      <c r="K597" s="108">
        <f>SUM(K590:K596)</f>
        <v>317338.57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93235.62</v>
      </c>
      <c r="I603" s="18"/>
      <c r="J603" s="18"/>
      <c r="K603" s="104">
        <f>SUM(H603:J603)</f>
        <v>93235.62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93235.62</v>
      </c>
      <c r="I604" s="108">
        <f>SUM(I601:I603)</f>
        <v>0</v>
      </c>
      <c r="J604" s="108">
        <f>SUM(J601:J603)</f>
        <v>0</v>
      </c>
      <c r="K604" s="108">
        <f>SUM(K601:K603)</f>
        <v>93235.62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1433573.7300000002</v>
      </c>
      <c r="H616" s="109">
        <f>SUM(F51)</f>
        <v>1433573.73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22649.919999999998</v>
      </c>
      <c r="H617" s="109">
        <f>SUM(G51)</f>
        <v>22649.919999999998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60589.13</v>
      </c>
      <c r="H618" s="109">
        <f>SUM(H51)</f>
        <v>60589.13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115647.14</v>
      </c>
      <c r="H620" s="109">
        <f>SUM(J51)</f>
        <v>115647.14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996681.31</v>
      </c>
      <c r="H621" s="109">
        <f>F475</f>
        <v>996681.31000000052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115647.14</v>
      </c>
      <c r="H625" s="109">
        <f>J475</f>
        <v>115647.14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9600818.5099999998</v>
      </c>
      <c r="H626" s="104">
        <f>SUM(F467)</f>
        <v>9600818.5099999998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184219.41000000003</v>
      </c>
      <c r="H627" s="104">
        <f>SUM(G467)</f>
        <v>184219.41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309497.34999999998</v>
      </c>
      <c r="H628" s="104">
        <f>SUM(H467)</f>
        <v>309497.34999999998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1768.61</v>
      </c>
      <c r="H630" s="104">
        <f>SUM(J467)</f>
        <v>1768.61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8723184.1899999976</v>
      </c>
      <c r="H631" s="104">
        <f>SUM(F471)</f>
        <v>8723184.1899999995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309497.35000000003</v>
      </c>
      <c r="H632" s="104">
        <f>SUM(H471)</f>
        <v>309497.34999999998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95921.24</v>
      </c>
      <c r="H633" s="104">
        <f>I368</f>
        <v>95921.24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184219.41</v>
      </c>
      <c r="H634" s="104">
        <f>SUM(G471)</f>
        <v>184219.41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1768.6100000000001</v>
      </c>
      <c r="H636" s="164">
        <f>SUM(J467)</f>
        <v>1768.61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5438.66</v>
      </c>
      <c r="H638" s="104">
        <f>SUM(F460)</f>
        <v>5438.66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110208.48</v>
      </c>
      <c r="H639" s="104">
        <f>SUM(G460)</f>
        <v>110208.48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115647.14</v>
      </c>
      <c r="H641" s="104">
        <f>SUM(I460)</f>
        <v>115647.14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1768.61</v>
      </c>
      <c r="H643" s="104">
        <f>H407</f>
        <v>1768.6100000000001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1768.61</v>
      </c>
      <c r="H645" s="104">
        <f>L407</f>
        <v>1768.6100000000001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317338.57</v>
      </c>
      <c r="H646" s="104">
        <f>L207+L225+L243</f>
        <v>317338.57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93235.62</v>
      </c>
      <c r="H647" s="104">
        <f>(J256+J337)-(J254+J335)</f>
        <v>93235.62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298035.31</v>
      </c>
      <c r="H648" s="104">
        <f>H597</f>
        <v>298035.31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19303.259999999998</v>
      </c>
      <c r="H650" s="104">
        <f>J597</f>
        <v>19303.259999999998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13387.45</v>
      </c>
      <c r="H651" s="104">
        <f>K262+K344</f>
        <v>13387.45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6595854.8199999994</v>
      </c>
      <c r="G659" s="19">
        <f>(L228+L308+L358)</f>
        <v>0</v>
      </c>
      <c r="H659" s="19">
        <f>(L246+L327+L359)</f>
        <v>2607658.6799999997</v>
      </c>
      <c r="I659" s="19">
        <f>SUM(F659:H659)</f>
        <v>9203513.5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54946.11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54946.11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298035.31</v>
      </c>
      <c r="G661" s="19">
        <f>(L225+L305)-(J225+J305)</f>
        <v>0</v>
      </c>
      <c r="H661" s="19">
        <f>(L243+L324)-(J243+J324)</f>
        <v>19303.259999999998</v>
      </c>
      <c r="I661" s="19">
        <f>SUM(F661:H661)</f>
        <v>317338.57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276333.67</v>
      </c>
      <c r="G662" s="200">
        <f>SUM(G574:G586)+SUM(I601:I603)+L611</f>
        <v>0</v>
      </c>
      <c r="H662" s="200">
        <f>SUM(H574:H586)+SUM(J601:J603)+L612</f>
        <v>2548789.16</v>
      </c>
      <c r="I662" s="19">
        <f>SUM(F662:H662)</f>
        <v>2825122.83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5966539.7299999995</v>
      </c>
      <c r="G663" s="19">
        <f>G659-SUM(G660:G662)</f>
        <v>0</v>
      </c>
      <c r="H663" s="19">
        <f>H659-SUM(H660:H662)</f>
        <v>39566.259999999776</v>
      </c>
      <c r="I663" s="19">
        <f>I659-SUM(I660:I662)</f>
        <v>6006105.9900000002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387.65</v>
      </c>
      <c r="G664" s="249"/>
      <c r="H664" s="249"/>
      <c r="I664" s="19">
        <f>SUM(F664:H664)</f>
        <v>387.65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15391.56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15493.63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-39566.26</v>
      </c>
      <c r="I668" s="19">
        <f>SUM(F668:H668)</f>
        <v>-39566.26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15391.56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15391.56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ALLENSTOWN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1861027.15</v>
      </c>
      <c r="C9" s="230">
        <f>'DOE25'!G196+'DOE25'!G214+'DOE25'!G232+'DOE25'!G275+'DOE25'!G294+'DOE25'!G313</f>
        <v>813900.89</v>
      </c>
    </row>
    <row r="10" spans="1:3">
      <c r="A10" t="s">
        <v>779</v>
      </c>
      <c r="B10" s="241">
        <v>1780944.79</v>
      </c>
      <c r="C10" s="241">
        <v>778903.15</v>
      </c>
    </row>
    <row r="11" spans="1:3">
      <c r="A11" t="s">
        <v>780</v>
      </c>
      <c r="B11" s="241">
        <v>24349.84</v>
      </c>
      <c r="C11" s="241">
        <v>10580.71</v>
      </c>
    </row>
    <row r="12" spans="1:3">
      <c r="A12" t="s">
        <v>781</v>
      </c>
      <c r="B12" s="241">
        <v>55732.52</v>
      </c>
      <c r="C12" s="241">
        <v>24417.03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1861027.1500000001</v>
      </c>
      <c r="C13" s="232">
        <f>SUM(C10:C12)</f>
        <v>813900.89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679204.45</v>
      </c>
      <c r="C18" s="230">
        <f>'DOE25'!G197+'DOE25'!G215+'DOE25'!G233+'DOE25'!G276+'DOE25'!G295+'DOE25'!G314</f>
        <v>266621.3</v>
      </c>
    </row>
    <row r="19" spans="1:3">
      <c r="A19" t="s">
        <v>779</v>
      </c>
      <c r="B19" s="241">
        <v>385176.63</v>
      </c>
      <c r="C19" s="241">
        <v>151174.28</v>
      </c>
    </row>
    <row r="20" spans="1:3">
      <c r="A20" t="s">
        <v>780</v>
      </c>
      <c r="B20" s="241">
        <v>193394.17</v>
      </c>
      <c r="C20" s="241">
        <v>75987.070000000007</v>
      </c>
    </row>
    <row r="21" spans="1:3">
      <c r="A21" t="s">
        <v>781</v>
      </c>
      <c r="B21" s="241">
        <v>100633.65</v>
      </c>
      <c r="C21" s="241">
        <v>39459.949999999997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679204.45000000007</v>
      </c>
      <c r="C22" s="232">
        <f>SUM(C19:C21)</f>
        <v>266621.3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23274</v>
      </c>
      <c r="C36" s="236">
        <f>'DOE25'!G199+'DOE25'!G217+'DOE25'!G235+'DOE25'!G278+'DOE25'!G297+'DOE25'!G316</f>
        <v>8629.8700000000008</v>
      </c>
    </row>
    <row r="37" spans="1:3">
      <c r="A37" t="s">
        <v>779</v>
      </c>
      <c r="B37" s="241">
        <v>23274</v>
      </c>
      <c r="C37" s="241">
        <v>8629.8700000000008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23274</v>
      </c>
      <c r="C40" s="232">
        <f>SUM(C37:C39)</f>
        <v>8629.8700000000008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ALLENSTOWN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6314154.9900000002</v>
      </c>
      <c r="D5" s="20">
        <f>SUM('DOE25'!L196:L199)+SUM('DOE25'!L214:L217)+SUM('DOE25'!L232:L235)-F5-G5</f>
        <v>6253785.1100000003</v>
      </c>
      <c r="E5" s="244"/>
      <c r="F5" s="256">
        <f>SUM('DOE25'!J196:J199)+SUM('DOE25'!J214:J217)+SUM('DOE25'!J232:J235)</f>
        <v>58972.880000000005</v>
      </c>
      <c r="G5" s="53">
        <f>SUM('DOE25'!K196:K199)+SUM('DOE25'!K214:K217)+SUM('DOE25'!K232:K235)</f>
        <v>1397</v>
      </c>
      <c r="H5" s="260"/>
    </row>
    <row r="6" spans="1:9">
      <c r="A6" s="32">
        <v>2100</v>
      </c>
      <c r="B6" t="s">
        <v>801</v>
      </c>
      <c r="C6" s="246">
        <f t="shared" si="0"/>
        <v>858931.59999999986</v>
      </c>
      <c r="D6" s="20">
        <f>'DOE25'!L201+'DOE25'!L219+'DOE25'!L237-F6-G6</f>
        <v>858100.60999999987</v>
      </c>
      <c r="E6" s="244"/>
      <c r="F6" s="256">
        <f>'DOE25'!J201+'DOE25'!J219+'DOE25'!J237</f>
        <v>213.23</v>
      </c>
      <c r="G6" s="53">
        <f>'DOE25'!K201+'DOE25'!K219+'DOE25'!K237</f>
        <v>617.76</v>
      </c>
      <c r="H6" s="260"/>
    </row>
    <row r="7" spans="1:9">
      <c r="A7" s="32">
        <v>2200</v>
      </c>
      <c r="B7" t="s">
        <v>834</v>
      </c>
      <c r="C7" s="246">
        <f t="shared" si="0"/>
        <v>120167.62</v>
      </c>
      <c r="D7" s="20">
        <f>'DOE25'!L202+'DOE25'!L220+'DOE25'!L238-F7-G7</f>
        <v>119983.62</v>
      </c>
      <c r="E7" s="244"/>
      <c r="F7" s="256">
        <f>'DOE25'!J202+'DOE25'!J220+'DOE25'!J238</f>
        <v>0</v>
      </c>
      <c r="G7" s="53">
        <f>'DOE25'!K202+'DOE25'!K220+'DOE25'!K238</f>
        <v>184</v>
      </c>
      <c r="H7" s="260"/>
    </row>
    <row r="8" spans="1:9">
      <c r="A8" s="32">
        <v>2300</v>
      </c>
      <c r="B8" t="s">
        <v>802</v>
      </c>
      <c r="C8" s="246">
        <f t="shared" si="0"/>
        <v>139120.46</v>
      </c>
      <c r="D8" s="244"/>
      <c r="E8" s="20">
        <f>'DOE25'!L203+'DOE25'!L221+'DOE25'!L239-F8-G8-D9-D11</f>
        <v>134048.47999999998</v>
      </c>
      <c r="F8" s="256">
        <f>'DOE25'!J203+'DOE25'!J221+'DOE25'!J239</f>
        <v>0</v>
      </c>
      <c r="G8" s="53">
        <f>'DOE25'!K203+'DOE25'!K221+'DOE25'!K239</f>
        <v>5071.9799999999996</v>
      </c>
      <c r="H8" s="260"/>
    </row>
    <row r="9" spans="1:9">
      <c r="A9" s="32">
        <v>2310</v>
      </c>
      <c r="B9" t="s">
        <v>818</v>
      </c>
      <c r="C9" s="246">
        <f t="shared" si="0"/>
        <v>11492.76</v>
      </c>
      <c r="D9" s="245">
        <v>11492.76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4562</v>
      </c>
      <c r="D10" s="244"/>
      <c r="E10" s="245">
        <v>4562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58106.36</v>
      </c>
      <c r="D11" s="245">
        <v>58106.36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359991.22000000003</v>
      </c>
      <c r="D12" s="20">
        <f>'DOE25'!L204+'DOE25'!L222+'DOE25'!L240-F12-G12</f>
        <v>352238.46</v>
      </c>
      <c r="E12" s="244"/>
      <c r="F12" s="256">
        <f>'DOE25'!J204+'DOE25'!J222+'DOE25'!J240</f>
        <v>1625.7</v>
      </c>
      <c r="G12" s="53">
        <f>'DOE25'!K204+'DOE25'!K222+'DOE25'!K240</f>
        <v>6127.06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530493.16</v>
      </c>
      <c r="D14" s="20">
        <f>'DOE25'!L206+'DOE25'!L224+'DOE25'!L242-F14-G14</f>
        <v>518771.20000000001</v>
      </c>
      <c r="E14" s="244"/>
      <c r="F14" s="256">
        <f>'DOE25'!J206+'DOE25'!J224+'DOE25'!J242</f>
        <v>11721.96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317338.57</v>
      </c>
      <c r="D15" s="20">
        <f>'DOE25'!L207+'DOE25'!L225+'DOE25'!L243-F15-G15</f>
        <v>317338.57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97278.59</v>
      </c>
      <c r="D29" s="20">
        <f>'DOE25'!L357+'DOE25'!L358+'DOE25'!L359-'DOE25'!I366-F29-G29</f>
        <v>94861.25</v>
      </c>
      <c r="E29" s="244"/>
      <c r="F29" s="256">
        <f>'DOE25'!J357+'DOE25'!J358+'DOE25'!J359</f>
        <v>1900</v>
      </c>
      <c r="G29" s="53">
        <f>'DOE25'!K357+'DOE25'!K358+'DOE25'!K359</f>
        <v>517.34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309497.35000000003</v>
      </c>
      <c r="D31" s="20">
        <f>'DOE25'!L289+'DOE25'!L308+'DOE25'!L327+'DOE25'!L332+'DOE25'!L333+'DOE25'!L334-F31-G31</f>
        <v>285384.44000000006</v>
      </c>
      <c r="E31" s="244"/>
      <c r="F31" s="256">
        <f>'DOE25'!J289+'DOE25'!J308+'DOE25'!J327+'DOE25'!J332+'DOE25'!J333+'DOE25'!J334</f>
        <v>20701.849999999999</v>
      </c>
      <c r="G31" s="53">
        <f>'DOE25'!K289+'DOE25'!K308+'DOE25'!K327+'DOE25'!K332+'DOE25'!K333+'DOE25'!K334</f>
        <v>3411.06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8870062.3800000008</v>
      </c>
      <c r="E33" s="247">
        <f>SUM(E5:E31)</f>
        <v>138610.47999999998</v>
      </c>
      <c r="F33" s="247">
        <f>SUM(F5:F31)</f>
        <v>95135.62</v>
      </c>
      <c r="G33" s="247">
        <f>SUM(G5:G31)</f>
        <v>17326.2</v>
      </c>
      <c r="H33" s="247">
        <f>SUM(H5:H31)</f>
        <v>0</v>
      </c>
    </row>
    <row r="35" spans="2:8" ht="12" thickBot="1">
      <c r="B35" s="254" t="s">
        <v>847</v>
      </c>
      <c r="D35" s="255">
        <f>E33</f>
        <v>138610.47999999998</v>
      </c>
      <c r="E35" s="250"/>
    </row>
    <row r="36" spans="2:8" ht="12" thickTop="1">
      <c r="B36" t="s">
        <v>815</v>
      </c>
      <c r="D36" s="20">
        <f>D33</f>
        <v>8870062.3800000008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ALLENSTOWN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1231436.1200000001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115647.14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65920.009999999995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136217.60000000001</v>
      </c>
      <c r="D12" s="95">
        <f>'DOE25'!G13</f>
        <v>18173.759999999998</v>
      </c>
      <c r="E12" s="95">
        <f>'DOE25'!H13</f>
        <v>47389.13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4476.16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13200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1433573.7300000002</v>
      </c>
      <c r="D18" s="41">
        <f>SUM(D8:D17)</f>
        <v>22649.919999999998</v>
      </c>
      <c r="E18" s="41">
        <f>SUM(E8:E17)</f>
        <v>60589.13</v>
      </c>
      <c r="F18" s="41">
        <f>SUM(F8:F17)</f>
        <v>0</v>
      </c>
      <c r="G18" s="41">
        <f>SUM(G8:G17)</f>
        <v>115647.14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10951.26</v>
      </c>
      <c r="E21" s="95">
        <f>'DOE25'!H22</f>
        <v>54968.75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324530.63</v>
      </c>
      <c r="D22" s="95">
        <f>'DOE25'!G23</f>
        <v>1698.66</v>
      </c>
      <c r="E22" s="95">
        <f>'DOE25'!H23</f>
        <v>5620.38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19773.650000000001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92588.14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436892.42000000004</v>
      </c>
      <c r="D31" s="41">
        <f>SUM(D21:D30)</f>
        <v>12649.92</v>
      </c>
      <c r="E31" s="41">
        <f>SUM(E21:E30)</f>
        <v>60589.13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115647.14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996681.31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996681.31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115647.14</v>
      </c>
      <c r="H49" s="124"/>
      <c r="I49" s="124"/>
    </row>
    <row r="50" spans="1:9" ht="12" thickTop="1">
      <c r="A50" s="38" t="s">
        <v>895</v>
      </c>
      <c r="B50" s="2"/>
      <c r="C50" s="41">
        <f>C49+C31</f>
        <v>1433573.73</v>
      </c>
      <c r="D50" s="41">
        <f>D49+D31</f>
        <v>22649.919999999998</v>
      </c>
      <c r="E50" s="41">
        <f>E49+E31</f>
        <v>60589.13</v>
      </c>
      <c r="F50" s="41">
        <f>F49+F31</f>
        <v>0</v>
      </c>
      <c r="G50" s="41">
        <f>G49+G31</f>
        <v>115647.14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4353956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2725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1263.75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153.01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1768.61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54946.11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20080.45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24222.21</v>
      </c>
      <c r="D61" s="130">
        <f>SUM(D56:D60)</f>
        <v>54946.11</v>
      </c>
      <c r="E61" s="130">
        <f>SUM(E56:E60)</f>
        <v>0</v>
      </c>
      <c r="F61" s="130">
        <f>SUM(F56:F60)</f>
        <v>0</v>
      </c>
      <c r="G61" s="130">
        <f>SUM(G56:G60)</f>
        <v>1768.61</v>
      </c>
      <c r="H61"/>
      <c r="I61"/>
    </row>
    <row r="62" spans="1:9" ht="12" thickTop="1">
      <c r="A62" s="29" t="s">
        <v>175</v>
      </c>
      <c r="B62" s="6"/>
      <c r="C62" s="22">
        <f>C55+C61</f>
        <v>4378178.21</v>
      </c>
      <c r="D62" s="22">
        <f>D55+D61</f>
        <v>54946.11</v>
      </c>
      <c r="E62" s="22">
        <f>E55+E61</f>
        <v>0</v>
      </c>
      <c r="F62" s="22">
        <f>F55+F61</f>
        <v>0</v>
      </c>
      <c r="G62" s="22">
        <f>G55+G61</f>
        <v>1768.61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4393228.5599999996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606812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3806.44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5003847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7979.78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5440.9</v>
      </c>
      <c r="D76" s="95">
        <f>SUM('DOE25'!G130:G134)</f>
        <v>2059.16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13420.68</v>
      </c>
      <c r="D77" s="130">
        <f>SUM(D71:D76)</f>
        <v>2059.16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5017267.68</v>
      </c>
      <c r="D80" s="130">
        <f>SUM(D78:D79)+D77+D69</f>
        <v>2059.16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205372.62</v>
      </c>
      <c r="D87" s="95">
        <f>SUM('DOE25'!G152:G160)</f>
        <v>113826.69</v>
      </c>
      <c r="E87" s="95">
        <f>SUM('DOE25'!H152:H160)</f>
        <v>309497.34999999998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205372.62</v>
      </c>
      <c r="D90" s="131">
        <f>SUM(D84:D89)</f>
        <v>113826.69</v>
      </c>
      <c r="E90" s="131">
        <f>SUM(E84:E89)</f>
        <v>309497.34999999998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13387.45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13387.45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9600818.5099999998</v>
      </c>
      <c r="D103" s="86">
        <f>D62+D80+D90+D102</f>
        <v>184219.41000000003</v>
      </c>
      <c r="E103" s="86">
        <f>E62+E80+E90+E102</f>
        <v>309497.34999999998</v>
      </c>
      <c r="F103" s="86">
        <f>F62+F80+F90+F102</f>
        <v>0</v>
      </c>
      <c r="G103" s="86">
        <f>G62+G80+G102</f>
        <v>1768.61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4280108.96</v>
      </c>
      <c r="D108" s="24" t="s">
        <v>289</v>
      </c>
      <c r="E108" s="95">
        <f>('DOE25'!L275)+('DOE25'!L294)+('DOE25'!L313)</f>
        <v>230066.85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1994709.62</v>
      </c>
      <c r="D109" s="24" t="s">
        <v>289</v>
      </c>
      <c r="E109" s="95">
        <f>('DOE25'!L276)+('DOE25'!L295)+('DOE25'!L314)</f>
        <v>20701.849999999999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39336.410000000003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6314154.9900000002</v>
      </c>
      <c r="D114" s="86">
        <f>SUM(D108:D113)</f>
        <v>0</v>
      </c>
      <c r="E114" s="86">
        <f>SUM(E108:E113)</f>
        <v>250768.7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858931.59999999986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120167.62</v>
      </c>
      <c r="D118" s="24" t="s">
        <v>289</v>
      </c>
      <c r="E118" s="95">
        <f>+('DOE25'!L281)+('DOE25'!L300)+('DOE25'!L319)</f>
        <v>55317.59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208719.58000000002</v>
      </c>
      <c r="D119" s="24" t="s">
        <v>289</v>
      </c>
      <c r="E119" s="95">
        <f>+('DOE25'!L282)+('DOE25'!L301)+('DOE25'!L320)</f>
        <v>3411.06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359991.22000000003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530493.16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317338.57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184219.41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2395641.7499999995</v>
      </c>
      <c r="D127" s="86">
        <f>SUM(D117:D126)</f>
        <v>184219.41</v>
      </c>
      <c r="E127" s="86">
        <f>SUM(E117:E126)</f>
        <v>58728.649999999994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13387.45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83.81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1684.8000000000002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-1768.6100000000001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13387.45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8723184.1899999995</v>
      </c>
      <c r="D144" s="86">
        <f>(D114+D127+D143)</f>
        <v>184219.41</v>
      </c>
      <c r="E144" s="86">
        <f>(E114+E127+E143)</f>
        <v>309497.34999999998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ALLENSTOWN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15392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15392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4510176</v>
      </c>
      <c r="D10" s="182">
        <f>ROUND((C10/$C$28)*100,1)</f>
        <v>49.3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2015411</v>
      </c>
      <c r="D11" s="182">
        <f>ROUND((C11/$C$28)*100,1)</f>
        <v>22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39336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858932</v>
      </c>
      <c r="D15" s="182">
        <f t="shared" ref="D15:D27" si="0">ROUND((C15/$C$28)*100,1)</f>
        <v>9.4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175485</v>
      </c>
      <c r="D16" s="182">
        <f t="shared" si="0"/>
        <v>1.9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212131</v>
      </c>
      <c r="D17" s="182">
        <f t="shared" si="0"/>
        <v>2.2999999999999998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359991</v>
      </c>
      <c r="D18" s="182">
        <f t="shared" si="0"/>
        <v>3.9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530493</v>
      </c>
      <c r="D20" s="182">
        <f t="shared" si="0"/>
        <v>5.8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317339</v>
      </c>
      <c r="D21" s="182">
        <f t="shared" si="0"/>
        <v>3.5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129272.89</v>
      </c>
      <c r="D27" s="182">
        <f t="shared" si="0"/>
        <v>1.4</v>
      </c>
    </row>
    <row r="28" spans="1:4">
      <c r="B28" s="187" t="s">
        <v>723</v>
      </c>
      <c r="C28" s="180">
        <f>SUM(C10:C27)</f>
        <v>9148566.8900000006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9148566.8900000006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4353956</v>
      </c>
      <c r="D35" s="182">
        <f t="shared" ref="D35:D40" si="1">ROUND((C35/$C$41)*100,1)</f>
        <v>43.4</v>
      </c>
    </row>
    <row r="36" spans="1:4">
      <c r="B36" s="185" t="s">
        <v>743</v>
      </c>
      <c r="C36" s="179">
        <f>SUM('DOE25'!F111:J111)-SUM('DOE25'!G96:G109)+('DOE25'!F173+'DOE25'!F174+'DOE25'!I173+'DOE25'!I174)-C35</f>
        <v>25990.820000000298</v>
      </c>
      <c r="D36" s="182">
        <f t="shared" si="1"/>
        <v>0.3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5003847</v>
      </c>
      <c r="D37" s="182">
        <f t="shared" si="1"/>
        <v>49.9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15480</v>
      </c>
      <c r="D38" s="182">
        <f t="shared" si="1"/>
        <v>0.2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628697</v>
      </c>
      <c r="D39" s="182">
        <f t="shared" si="1"/>
        <v>6.3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10027970.82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>
      <c r="A2" s="295" t="s">
        <v>767</v>
      </c>
      <c r="B2" s="296"/>
      <c r="C2" s="296"/>
      <c r="D2" s="296"/>
      <c r="E2" s="296"/>
      <c r="F2" s="293" t="str">
        <f>'DOE25'!A2</f>
        <v>ALLENSTOWN SCHOOL DISTRICT</v>
      </c>
      <c r="G2" s="294"/>
      <c r="H2" s="294"/>
      <c r="I2" s="294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DP32:DZ32"/>
    <mergeCell ref="EC32:EM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1:A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C5:M5"/>
    <mergeCell ref="C6:M6"/>
    <mergeCell ref="C7:M7"/>
    <mergeCell ref="C8:M8"/>
    <mergeCell ref="C20:M20"/>
    <mergeCell ref="BC29:BM29"/>
    <mergeCell ref="C32:M32"/>
    <mergeCell ref="C30:M30"/>
    <mergeCell ref="C31:M31"/>
    <mergeCell ref="P31:Z31"/>
    <mergeCell ref="C9:M9"/>
    <mergeCell ref="C10:M10"/>
    <mergeCell ref="C11:M11"/>
    <mergeCell ref="C12:M12"/>
    <mergeCell ref="AP31:AZ31"/>
    <mergeCell ref="P32:Z32"/>
    <mergeCell ref="A1:I1"/>
    <mergeCell ref="C3:M3"/>
    <mergeCell ref="C4:M4"/>
    <mergeCell ref="F2:I2"/>
    <mergeCell ref="A2:E2"/>
    <mergeCell ref="C13:M13"/>
    <mergeCell ref="C22:M22"/>
    <mergeCell ref="C23:M2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66:M66"/>
    <mergeCell ref="C67:M67"/>
    <mergeCell ref="C68:M68"/>
    <mergeCell ref="C69:M69"/>
    <mergeCell ref="C62:M62"/>
    <mergeCell ref="C63:M63"/>
    <mergeCell ref="C64:M64"/>
    <mergeCell ref="C65:M65"/>
    <mergeCell ref="C77:M77"/>
    <mergeCell ref="C78:M78"/>
    <mergeCell ref="C70:M70"/>
    <mergeCell ref="A72:E72"/>
    <mergeCell ref="C73:M73"/>
    <mergeCell ref="C74:M74"/>
    <mergeCell ref="C88:M88"/>
    <mergeCell ref="C89:M89"/>
    <mergeCell ref="C90:M90"/>
    <mergeCell ref="C83:M83"/>
    <mergeCell ref="C84:M84"/>
    <mergeCell ref="C85:M85"/>
    <mergeCell ref="C86:M86"/>
    <mergeCell ref="C26:M26"/>
    <mergeCell ref="C27:M27"/>
    <mergeCell ref="C28:M28"/>
    <mergeCell ref="C87:M87"/>
    <mergeCell ref="C79:M79"/>
    <mergeCell ref="C80:M80"/>
    <mergeCell ref="C81:M81"/>
    <mergeCell ref="C82:M82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2012-09-07T14:19:09Z</cp:lastPrinted>
  <dcterms:created xsi:type="dcterms:W3CDTF">1997-12-04T19:04:30Z</dcterms:created>
  <dcterms:modified xsi:type="dcterms:W3CDTF">2012-09-13T18:45:10Z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