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14" i="1" l="1"/>
  <c r="I9" i="1"/>
  <c r="F9" i="1"/>
  <c r="F40" i="2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H146" i="1"/>
  <c r="H161" i="1"/>
  <c r="I146" i="1"/>
  <c r="I161" i="1"/>
  <c r="C12" i="10"/>
  <c r="C13" i="10"/>
  <c r="C15" i="10"/>
  <c r="C20" i="10"/>
  <c r="C21" i="10"/>
  <c r="L249" i="1"/>
  <c r="L331" i="1"/>
  <c r="L253" i="1"/>
  <c r="C25" i="10"/>
  <c r="L267" i="1"/>
  <c r="L268" i="1"/>
  <c r="L348" i="1"/>
  <c r="L349" i="1"/>
  <c r="I664" i="1"/>
  <c r="I669" i="1"/>
  <c r="G660" i="1"/>
  <c r="F661" i="1"/>
  <c r="G661" i="1"/>
  <c r="H661" i="1"/>
  <c r="I668" i="1"/>
  <c r="C6" i="10"/>
  <c r="C5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E90" i="2" s="1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G617" i="1" s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H433" i="1" s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8" i="1"/>
  <c r="J618" i="1" s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H646" i="1"/>
  <c r="G648" i="1"/>
  <c r="G649" i="1"/>
  <c r="H649" i="1"/>
  <c r="G650" i="1"/>
  <c r="G651" i="1"/>
  <c r="H651" i="1"/>
  <c r="G652" i="1"/>
  <c r="H652" i="1"/>
  <c r="G653" i="1"/>
  <c r="H653" i="1"/>
  <c r="H654" i="1"/>
  <c r="J351" i="1"/>
  <c r="F191" i="1"/>
  <c r="L255" i="1"/>
  <c r="I256" i="1"/>
  <c r="I270" i="1" s="1"/>
  <c r="G256" i="1"/>
  <c r="G270" i="1" s="1"/>
  <c r="G163" i="2"/>
  <c r="G159" i="2"/>
  <c r="C18" i="2"/>
  <c r="F31" i="2"/>
  <c r="C26" i="10"/>
  <c r="L327" i="1"/>
  <c r="L350" i="1"/>
  <c r="I661" i="1"/>
  <c r="L289" i="1"/>
  <c r="A31" i="12"/>
  <c r="C69" i="2"/>
  <c r="A40" i="12"/>
  <c r="D12" i="13"/>
  <c r="C12" i="13" s="1"/>
  <c r="G8" i="2"/>
  <c r="G161" i="2"/>
  <c r="D61" i="2"/>
  <c r="D62" i="2" s="1"/>
  <c r="E49" i="2"/>
  <c r="D18" i="13"/>
  <c r="C18" i="13" s="1"/>
  <c r="D15" i="13"/>
  <c r="C15" i="13" s="1"/>
  <c r="D7" i="13"/>
  <c r="C7" i="13" s="1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C77" i="2"/>
  <c r="G156" i="2"/>
  <c r="F49" i="2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J616" i="1"/>
  <c r="J653" i="1" l="1"/>
  <c r="J652" i="1"/>
  <c r="J651" i="1"/>
  <c r="J433" i="1"/>
  <c r="F31" i="13"/>
  <c r="D102" i="2"/>
  <c r="D49" i="2"/>
  <c r="I662" i="1"/>
  <c r="G570" i="1"/>
  <c r="F544" i="1"/>
  <c r="J641" i="1"/>
  <c r="I433" i="1"/>
  <c r="G433" i="1"/>
  <c r="F433" i="1"/>
  <c r="K433" i="1"/>
  <c r="G133" i="2" s="1"/>
  <c r="G143" i="2" s="1"/>
  <c r="G144" i="2" s="1"/>
  <c r="L381" i="1"/>
  <c r="G635" i="1" s="1"/>
  <c r="L361" i="1"/>
  <c r="F660" i="1"/>
  <c r="H660" i="1"/>
  <c r="C11" i="10"/>
  <c r="G31" i="13"/>
  <c r="I337" i="1"/>
  <c r="I351" i="1" s="1"/>
  <c r="C17" i="10"/>
  <c r="C16" i="10"/>
  <c r="C24" i="10"/>
  <c r="C19" i="10"/>
  <c r="L246" i="1"/>
  <c r="H659" i="1" s="1"/>
  <c r="H663" i="1" s="1"/>
  <c r="J649" i="1"/>
  <c r="C18" i="10"/>
  <c r="C127" i="2"/>
  <c r="L228" i="1"/>
  <c r="K256" i="1"/>
  <c r="K270" i="1" s="1"/>
  <c r="C10" i="10"/>
  <c r="J648" i="1"/>
  <c r="L210" i="1"/>
  <c r="F659" i="1" s="1"/>
  <c r="G168" i="1"/>
  <c r="F139" i="1"/>
  <c r="F50" i="2"/>
  <c r="D50" i="2"/>
  <c r="A22" i="12"/>
  <c r="G33" i="13"/>
  <c r="C80" i="2"/>
  <c r="E77" i="2"/>
  <c r="E80" i="2" s="1"/>
  <c r="F103" i="2"/>
  <c r="L426" i="1"/>
  <c r="J256" i="1"/>
  <c r="H647" i="1" s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H168" i="1"/>
  <c r="J270" i="1"/>
  <c r="G551" i="1"/>
  <c r="E50" i="2"/>
  <c r="J643" i="1"/>
  <c r="J642" i="1"/>
  <c r="J475" i="1"/>
  <c r="H625" i="1" s="1"/>
  <c r="H475" i="1"/>
  <c r="H623" i="1" s="1"/>
  <c r="J623" i="1" s="1"/>
  <c r="F475" i="1"/>
  <c r="H621" i="1" s="1"/>
  <c r="I475" i="1"/>
  <c r="H624" i="1" s="1"/>
  <c r="J624" i="1" s="1"/>
  <c r="G475" i="1"/>
  <c r="H622" i="1" s="1"/>
  <c r="J622" i="1" s="1"/>
  <c r="G337" i="1"/>
  <c r="G351" i="1" s="1"/>
  <c r="D144" i="2"/>
  <c r="C23" i="10"/>
  <c r="F168" i="1"/>
  <c r="F192" i="1" s="1"/>
  <c r="G626" i="1" s="1"/>
  <c r="J626" i="1" s="1"/>
  <c r="J139" i="1"/>
  <c r="D103" i="2"/>
  <c r="J621" i="1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I660" i="1"/>
  <c r="H139" i="1"/>
  <c r="C38" i="10" s="1"/>
  <c r="L400" i="1"/>
  <c r="C138" i="2" s="1"/>
  <c r="L392" i="1"/>
  <c r="A13" i="12"/>
  <c r="F22" i="13"/>
  <c r="H25" i="13"/>
  <c r="C103" i="2"/>
  <c r="E103" i="2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E144" i="2" s="1"/>
  <c r="F551" i="1"/>
  <c r="C35" i="10"/>
  <c r="L308" i="1"/>
  <c r="D5" i="13"/>
  <c r="E16" i="13"/>
  <c r="C49" i="2"/>
  <c r="C50" i="2" s="1"/>
  <c r="J654" i="1"/>
  <c r="J644" i="1"/>
  <c r="J192" i="1"/>
  <c r="L569" i="1"/>
  <c r="I570" i="1"/>
  <c r="I544" i="1"/>
  <c r="J635" i="1"/>
  <c r="G36" i="2"/>
  <c r="G49" i="2" s="1"/>
  <c r="G50" i="2" s="1"/>
  <c r="J50" i="1"/>
  <c r="C39" i="10"/>
  <c r="L564" i="1"/>
  <c r="G544" i="1"/>
  <c r="L544" i="1"/>
  <c r="H544" i="1"/>
  <c r="K550" i="1"/>
  <c r="F143" i="2"/>
  <c r="F144" i="2" s="1"/>
  <c r="H192" i="1" l="1"/>
  <c r="G628" i="1" s="1"/>
  <c r="J628" i="1" s="1"/>
  <c r="J647" i="1"/>
  <c r="L570" i="1"/>
  <c r="K551" i="1"/>
  <c r="L433" i="1"/>
  <c r="G637" i="1" s="1"/>
  <c r="J637" i="1" s="1"/>
  <c r="C27" i="10"/>
  <c r="C28" i="10" s="1"/>
  <c r="G634" i="1"/>
  <c r="J634" i="1" s="1"/>
  <c r="F663" i="1"/>
  <c r="F666" i="1" s="1"/>
  <c r="H671" i="1"/>
  <c r="H666" i="1"/>
  <c r="L256" i="1"/>
  <c r="L270" i="1" s="1"/>
  <c r="G631" i="1" s="1"/>
  <c r="J631" i="1" s="1"/>
  <c r="C36" i="10"/>
  <c r="C5" i="13"/>
  <c r="C22" i="13"/>
  <c r="F33" i="13"/>
  <c r="C137" i="2"/>
  <c r="C140" i="2" s="1"/>
  <c r="C143" i="2" s="1"/>
  <c r="C144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G630" i="1"/>
  <c r="J630" i="1" s="1"/>
  <c r="G645" i="1"/>
  <c r="G625" i="1"/>
  <c r="J51" i="1"/>
  <c r="H620" i="1" s="1"/>
  <c r="J620" i="1" s="1"/>
  <c r="C41" i="10"/>
  <c r="D39" i="10" s="1"/>
  <c r="F671" i="1" l="1"/>
  <c r="C4" i="10" s="1"/>
  <c r="D25" i="10"/>
  <c r="D19" i="10"/>
  <c r="D12" i="10"/>
  <c r="D27" i="10"/>
  <c r="D21" i="10"/>
  <c r="D16" i="10"/>
  <c r="D10" i="10"/>
  <c r="D20" i="10"/>
  <c r="D13" i="10"/>
  <c r="D18" i="10"/>
  <c r="D26" i="10"/>
  <c r="C30" i="10"/>
  <c r="D17" i="10"/>
  <c r="D11" i="10"/>
  <c r="D15" i="10"/>
  <c r="D24" i="10"/>
  <c r="D22" i="10"/>
  <c r="D23" i="10"/>
  <c r="G636" i="1"/>
  <c r="J636" i="1" s="1"/>
  <c r="H645" i="1"/>
  <c r="J645" i="1" s="1"/>
  <c r="D33" i="13"/>
  <c r="D36" i="13" s="1"/>
  <c r="G663" i="1"/>
  <c r="I659" i="1"/>
  <c r="I663" i="1" s="1"/>
  <c r="D37" i="10"/>
  <c r="D35" i="10"/>
  <c r="D40" i="10"/>
  <c r="D36" i="10"/>
  <c r="D38" i="10"/>
  <c r="J625" i="1"/>
  <c r="H655" i="1" l="1"/>
  <c r="D28" i="10"/>
  <c r="D41" i="10"/>
  <c r="I666" i="1"/>
  <c r="I671" i="1"/>
  <c r="C7" i="10" s="1"/>
  <c r="G671" i="1"/>
  <c r="G666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<sst xmlns="http://schemas.openxmlformats.org/spreadsheetml/2006/main" count="3945" uniqueCount="912">
  <si>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</si>
  <si>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</si>
  <si>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</si>
  <si>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</si>
  <si>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</si>
  <si>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</si>
  <si>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</si>
  <si>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</si>
  <si>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</si>
  <si>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</si>
  <si>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</si>
  <si>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</si>
  <si>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</si>
  <si>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</si>
  <si>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</si>
  <si>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</si>
  <si>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</si>
  <si>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</si>
  <si>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</si>
  <si>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</si>
  <si>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</si>
  <si>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</si>
  <si>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</si>
  <si>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</si>
  <si>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</si>
  <si>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</si>
  <si>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</si>
  <si>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</si>
  <si>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</si>
  <si>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</si>
  <si>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</si>
  <si>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</si>
  <si>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</si>
  <si>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</si>
  <si>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</si>
  <si>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</si>
  <si>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</si>
  <si>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</si>
  <si>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</si>
  <si>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</si>
  <si>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</si>
  <si>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</si>
  <si>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</si>
  <si>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</si>
  <si>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</si>
  <si>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</si>
  <si>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</si>
  <si>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</si>
  <si>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</si>
  <si>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</si>
  <si>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</si>
  <si>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</si>
  <si>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</si>
  <si>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</si>
  <si>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</si>
  <si>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</si>
  <si>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</si>
  <si>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</si>
  <si>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</si>
  <si>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</si>
  <si>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</si>
  <si>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</si>
  <si>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</si>
  <si>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</si>
  <si>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</si>
  <si>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</si>
  <si>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</si>
  <si>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</si>
  <si>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</si>
  <si>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</si>
  <si>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</si>
  <si>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</si>
  <si>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</si>
  <si>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</si>
  <si>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</si>
  <si>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</si>
  <si>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</si>
  <si>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</si>
  <si>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</si>
  <si>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</si>
  <si>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</si>
  <si>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</si>
  <si>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</si>
  <si>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</si>
  <si>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</si>
  <si>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</si>
  <si>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</si>
  <si>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</si>
  <si>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</si>
  <si>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</si>
  <si>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</si>
  <si>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</si>
  <si>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</si>
  <si>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</si>
  <si>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</si>
  <si>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</si>
  <si>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</si>
  <si>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</si>
  <si>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</si>
  <si>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</si>
  <si>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</si>
  <si>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</si>
  <si>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</si>
  <si>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</si>
  <si>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</si>
  <si>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</si>
  <si>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</si>
  <si>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</si>
  <si>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</si>
  <si>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</si>
  <si>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</si>
  <si>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</si>
  <si>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</si>
  <si>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</si>
  <si>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</si>
  <si>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</si>
  <si>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</si>
  <si>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</si>
  <si>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</si>
  <si>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</si>
  <si>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</si>
  <si>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</si>
  <si>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</si>
  <si>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</si>
  <si>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</si>
  <si>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</si>
  <si>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</si>
  <si>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</si>
  <si>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</si>
  <si>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</si>
  <si>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</si>
  <si>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</si>
  <si>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</si>
  <si>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</si>
  <si>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</si>
  <si>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</si>
  <si>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</si>
  <si>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</si>
  <si>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</si>
  <si>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</si>
  <si>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</si>
  <si>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</si>
  <si>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</si>
  <si>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</si>
  <si>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</si>
  <si>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</si>
  <si>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</si>
  <si>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</si>
  <si>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</si>
  <si>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</si>
  <si>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</si>
  <si>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</si>
  <si>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</si>
  <si>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</si>
  <si>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</si>
  <si>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</si>
  <si>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</si>
  <si>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</si>
  <si>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</si>
  <si>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</si>
  <si>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</si>
  <si>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</si>
  <si>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</si>
  <si>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</si>
  <si>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</si>
  <si>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</si>
  <si>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</si>
  <si>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</si>
  <si>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</si>
  <si>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</si>
  <si>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</si>
  <si>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</si>
  <si>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</si>
  <si>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</si>
  <si>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</si>
  <si>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</si>
  <si>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</si>
  <si>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</si>
  <si>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</si>
  <si>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</si>
  <si>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</si>
  <si>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</si>
  <si>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</si>
  <si>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</si>
  <si>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</si>
  <si>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</si>
  <si>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</si>
  <si>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</si>
  <si>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</si>
  <si>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</si>
  <si>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</si>
  <si>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</si>
  <si>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</si>
  <si>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</si>
  <si>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</si>
  <si>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</si>
  <si>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</si>
  <si>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</si>
  <si>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</si>
  <si>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</si>
  <si>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</si>
  <si>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</si>
  <si>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</si>
  <si>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</si>
  <si>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</si>
  <si>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</si>
  <si>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</si>
  <si>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</si>
  <si>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</si>
  <si>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</si>
  <si>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</si>
  <si>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</si>
  <si>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</si>
  <si>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</si>
  <si>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</si>
  <si>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</si>
  <si>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</si>
  <si>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</si>
  <si>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</si>
  <si>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</si>
  <si>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</si>
  <si>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</si>
  <si>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</si>
  <si>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</si>
  <si>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</si>
  <si>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</si>
  <si>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</si>
  <si>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</si>
  <si>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</si>
  <si>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</si>
  <si>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</si>
  <si>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</si>
  <si>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</si>
  <si>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</si>
  <si>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</si>
  <si>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</si>
  <si>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</si>
  <si>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</si>
  <si>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</si>
  <si>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</si>
  <si>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</si>
  <si>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</si>
  <si>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</si>
  <si>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</si>
  <si>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</si>
  <si>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</si>
  <si>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</si>
  <si>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</si>
  <si>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</si>
  <si>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</si>
  <si>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</si>
  <si>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</si>
  <si>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</si>
  <si>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</si>
  <si>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</si>
  <si>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</si>
  <si>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</si>
  <si>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</si>
  <si>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</si>
  <si>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</si>
  <si>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</si>
  <si>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</si>
  <si>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</si>
  <si>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</si>
  <si>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</si>
  <si>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</si>
  <si>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</si>
  <si>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</si>
  <si>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</si>
  <si>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</si>
  <si>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</si>
  <si>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</si>
  <si>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</si>
  <si>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</si>
  <si>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</si>
  <si>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</si>
  <si>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</si>
  <si>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</si>
  <si>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</si>
  <si>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</si>
  <si>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</si>
  <si>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</si>
  <si>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</si>
  <si>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</si>
  <si>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</si>
  <si>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</si>
  <si>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</si>
  <si>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</si>
  <si>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</si>
  <si>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</si>
  <si>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</si>
  <si>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</si>
  <si>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</si>
  <si>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</si>
  <si>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</si>
  <si>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</si>
  <si>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</si>
  <si>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</si>
  <si>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</si>
  <si>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</si>
  <si>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</si>
  <si>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</si>
  <si>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</si>
  <si>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</si>
  <si>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</si>
  <si>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</si>
  <si>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</si>
  <si>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</si>
  <si>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</si>
  <si>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</si>
  <si>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</si>
  <si>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</si>
  <si>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</si>
  <si>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</si>
  <si>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</si>
  <si>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</si>
  <si>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</si>
  <si>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</si>
  <si>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</si>
  <si>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</si>
  <si>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</si>
  <si>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</si>
  <si>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</si>
  <si>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</si>
  <si>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</si>
  <si>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</si>
  <si>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</si>
  <si>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</si>
  <si>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</si>
  <si>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</si>
  <si>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</si>
  <si>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</si>
  <si>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</si>
  <si>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</si>
  <si>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</si>
  <si>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</si>
  <si>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</si>
  <si>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</si>
  <si>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</si>
  <si>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</si>
  <si>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</si>
  <si>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</si>
  <si>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</si>
  <si>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</si>
  <si>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</si>
  <si>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</si>
  <si>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</si>
  <si>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</si>
  <si>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</si>
  <si>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</si>
  <si>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</si>
  <si>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</si>
  <si>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</si>
  <si>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</si>
  <si>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</si>
  <si>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</si>
  <si>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</si>
  <si>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</si>
  <si>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</si>
  <si>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</si>
  <si>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</si>
  <si>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</si>
  <si>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</si>
  <si>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</si>
  <si>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</si>
  <si>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</si>
  <si>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</si>
  <si>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</si>
  <si>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</si>
  <si>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</si>
  <si>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</si>
  <si>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</si>
  <si>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</si>
  <si>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</si>
  <si>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</si>
  <si>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</si>
  <si>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</si>
  <si>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</si>
  <si>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</si>
  <si>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</si>
  <si>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</si>
  <si>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</si>
  <si>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</si>
  <si>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</si>
  <si>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</si>
  <si>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</si>
  <si>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</si>
  <si>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</si>
  <si>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</si>
  <si>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</si>
  <si>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</si>
  <si>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</si>
  <si>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</si>
  <si>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</si>
  <si>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</si>
  <si>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</si>
  <si>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</si>
  <si>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</si>
  <si>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</si>
  <si>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</si>
  <si>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</si>
  <si>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</si>
  <si>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</si>
  <si>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</si>
  <si>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</si>
  <si>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</si>
  <si>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</si>
  <si>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</si>
  <si>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</si>
  <si>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</si>
  <si>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</si>
  <si>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</si>
  <si>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</si>
  <si>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</si>
  <si>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</si>
  <si>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</si>
  <si>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</si>
  <si>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</si>
  <si>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</si>
  <si>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</si>
  <si>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</si>
  <si>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</si>
  <si>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</si>
  <si>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</si>
  <si>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</si>
  <si>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</si>
  <si>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</si>
  <si>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</si>
  <si>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</si>
  <si>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</si>
  <si>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</si>
  <si>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</si>
  <si>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</si>
  <si>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</si>
  <si>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</si>
  <si>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</si>
  <si>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</si>
  <si>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</si>
  <si>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</si>
  <si>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</si>
  <si>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</si>
  <si>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</si>
  <si>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</si>
  <si>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</si>
  <si>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</si>
  <si>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</si>
  <si>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</si>
  <si>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</si>
  <si>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</si>
  <si>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</si>
  <si>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</si>
  <si>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</si>
  <si>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</si>
  <si>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</si>
  <si>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</si>
  <si>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</si>
  <si>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</si>
  <si>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</si>
  <si>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</si>
  <si>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</si>
  <si>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</si>
  <si>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</si>
  <si>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</si>
  <si>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</si>
  <si>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</si>
  <si>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</si>
  <si>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</si>
  <si>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</si>
  <si>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</si>
  <si>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</si>
  <si>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</si>
  <si>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</si>
  <si>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</si>
  <si>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</si>
  <si>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</si>
  <si>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</si>
  <si>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</si>
  <si>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</si>
  <si>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</si>
  <si>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</si>
  <si>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</si>
  <si>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</si>
  <si>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</si>
  <si>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</si>
  <si>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</si>
  <si>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</si>
  <si>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</si>
  <si>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</si>
  <si>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</si>
  <si>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</si>
  <si>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</si>
  <si>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</si>
  <si>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</si>
  <si>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</si>
  <si>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</si>
  <si>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</si>
  <si>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</si>
  <si>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</si>
  <si>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</si>
  <si>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</si>
  <si>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</si>
  <si>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</si>
  <si>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</si>
  <si>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</si>
  <si>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</si>
  <si>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</si>
  <si>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</si>
  <si>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</si>
  <si>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</si>
  <si>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</si>
  <si>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</si>
  <si>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</si>
  <si>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</si>
  <si>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</si>
  <si>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</si>
  <si>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</si>
  <si>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</si>
  <si>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</si>
  <si>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</si>
  <si>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</si>
  <si>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</si>
  <si>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</si>
  <si>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</si>
  <si>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</si>
  <si>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</si>
  <si>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</si>
  <si>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</si>
  <si>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</si>
  <si>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</si>
  <si>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</si>
  <si>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</si>
  <si>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</si>
  <si>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</si>
  <si>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</si>
  <si>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</si>
  <si>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</si>
  <si>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</si>
  <si>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</si>
  <si>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</si>
  <si>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</si>
  <si>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</si>
  <si>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</si>
  <si>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</si>
  <si>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</si>
  <si>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</si>
  <si>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</si>
  <si>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</si>
  <si>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</si>
  <si>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</si>
  <si>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</si>
  <si>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</si>
  <si>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</si>
  <si>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</si>
  <si>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</si>
  <si>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</si>
  <si>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</si>
  <si>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</si>
  <si>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</si>
  <si>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</si>
  <si>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</si>
  <si>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</si>
  <si>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</si>
  <si>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</si>
  <si>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</si>
  <si>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</si>
  <si>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</si>
  <si>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</si>
  <si>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</si>
  <si>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</si>
  <si>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</si>
  <si>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</si>
  <si>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</si>
  <si>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</si>
  <si>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</si>
  <si>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</si>
  <si>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</si>
  <si>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</si>
  <si>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</si>
  <si>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</si>
  <si>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</si>
  <si>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</si>
  <si>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</si>
  <si>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</si>
  <si>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</si>
  <si>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</si>
  <si>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</si>
  <si>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</si>
  <si>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</si>
  <si>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</si>
  <si>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</si>
  <si>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</si>
  <si>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</si>
  <si>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</si>
  <si>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</si>
  <si>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</si>
  <si>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</si>
  <si>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</si>
  <si>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</si>
  <si>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</si>
  <si>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</si>
  <si>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</si>
  <si>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</si>
  <si>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</si>
  <si>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</si>
  <si>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</si>
  <si>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</si>
  <si>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</si>
  <si>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</si>
  <si>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</si>
  <si>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</si>
  <si>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</si>
  <si>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</si>
  <si>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</si>
  <si>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</si>
  <si>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</si>
  <si>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</si>
  <si>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</si>
  <si>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</si>
  <si>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</si>
  <si>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</si>
  <si>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</si>
  <si>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</si>
  <si>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</si>
  <si>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</si>
  <si>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</si>
  <si>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</si>
  <si>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</si>
  <si>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</si>
  <si>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</si>
  <si>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</si>
  <si>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</si>
  <si>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</si>
  <si>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</si>
  <si>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</si>
  <si>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</si>
  <si>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</si>
  <si>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</si>
  <si>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</si>
  <si>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</si>
  <si>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</si>
  <si>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</si>
  <si>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</si>
  <si>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</si>
  <si>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</si>
  <si>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</si>
  <si>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</si>
  <si>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</si>
  <si>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</si>
  <si>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</si>
  <si>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</si>
  <si>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</si>
  <si>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</si>
  <si>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</si>
  <si>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</si>
  <si>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</si>
  <si>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</si>
  <si>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</si>
  <si>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</si>
  <si>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</si>
  <si>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</si>
  <si>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</si>
  <si>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</si>
  <si>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</si>
  <si>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</si>
  <si>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</si>
  <si>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</si>
  <si>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</si>
  <si>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</si>
  <si>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</si>
  <si>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</si>
  <si>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</si>
  <si>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</si>
  <si>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</si>
  <si>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</si>
  <si>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</si>
  <si>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</si>
  <si>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</si>
  <si>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</si>
  <si>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</si>
  <si>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</si>
  <si>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</si>
  <si>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</si>
  <si>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</si>
  <si>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</si>
  <si>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</si>
  <si>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</si>
  <si>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</si>
  <si>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</si>
  <si>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</si>
  <si>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</si>
  <si>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</si>
  <si>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</si>
  <si>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</si>
  <si>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</si>
  <si>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</si>
  <si>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</si>
  <si>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</si>
  <si>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</si>
  <si>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</si>
  <si>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</si>
  <si>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</si>
  <si>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</si>
  <si>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</si>
  <si>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</si>
  <si>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</si>
  <si>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</si>
  <si>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</si>
  <si>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</si>
  <si>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</si>
  <si>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</si>
  <si>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</si>
  <si>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</si>
  <si>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</si>
  <si>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</si>
  <si>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</si>
  <si>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</si>
  <si>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</si>
  <si>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</si>
  <si>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</si>
  <si>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</si>
  <si>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</si>
  <si>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</si>
  <si>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</si>
  <si>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</si>
  <si>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</si>
  <si>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</si>
  <si>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</si>
  <si>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</si>
  <si>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</si>
  <si>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</si>
  <si>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</si>
  <si>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</si>
  <si>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</si>
  <si>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</si>
  <si>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</si>
  <si>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</si>
  <si>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</si>
  <si>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</si>
  <si>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</si>
  <si>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</si>
  <si>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</si>
  <si>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</si>
  <si>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</si>
  <si>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</si>
  <si>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</si>
  <si>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</si>
  <si>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</si>
  <si>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</si>
  <si>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</si>
  <si>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</si>
  <si>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</si>
  <si>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</si>
  <si>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</si>
  <si>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</si>
  <si>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</si>
  <si>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</si>
  <si>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</si>
  <si>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</si>
  <si>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</si>
  <si>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</si>
  <si>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</si>
  <si>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</si>
  <si>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</si>
  <si>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</si>
  <si>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</si>
  <si>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</si>
  <si>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</si>
  <si>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</si>
  <si>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</si>
  <si>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</si>
  <si>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</si>
  <si>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</si>
  <si>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</si>
  <si>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</si>
  <si>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</si>
  <si>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</si>
  <si>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</si>
  <si>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</si>
  <si>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</si>
  <si>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</si>
  <si>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</si>
  <si>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</si>
  <si>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</si>
  <si>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</si>
  <si>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</si>
  <si>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</si>
  <si>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</si>
  <si>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</si>
  <si>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</si>
  <si>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</si>
  <si>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</si>
  <si>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</si>
  <si>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</si>
  <si>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</si>
  <si>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</si>
  <si>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</si>
  <si>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</si>
  <si>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</si>
  <si>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</si>
  <si>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</si>
  <si>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</si>
  <si>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</si>
  <si>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</si>
  <si>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</si>
  <si>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</si>
  <si>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</si>
  <si>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</si>
  <si>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</si>
  <si>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</si>
  <si>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</si>
  <si>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</si>
  <si>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</si>
  <si>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</si>
  <si>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</si>
  <si>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</si>
  <si>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</si>
  <si>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</si>
  <si>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</si>
  <si>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</si>
  <si>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</si>
  <si>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</si>
  <si>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</si>
  <si>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</si>
  <si>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</si>
  <si>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</si>
  <si>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</si>
  <si>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</si>
  <si>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</si>
  <si>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</si>
  <si>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</si>
  <si>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</si>
  <si>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</si>
  <si>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</si>
  <si>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</si>
  <si>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</si>
  <si>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</si>
  <si>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</si>
  <si>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</si>
  <si>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</si>
  <si>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</si>
  <si>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</si>
  <si>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</si>
  <si>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</si>
  <si>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</si>
  <si>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</si>
  <si>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</si>
  <si>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</si>
  <si>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</si>
  <si>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</si>
  <si>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</si>
  <si>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</si>
  <si>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</si>
  <si>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</si>
  <si>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</si>
  <si>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</si>
  <si>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</si>
  <si>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</si>
  <si>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</si>
  <si>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</si>
  <si>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</si>
  <si>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</si>
  <si>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</si>
  <si>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</si>
  <si>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</si>
  <si>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</si>
  <si>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</si>
  <si>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</si>
  <si>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</si>
  <si>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</si>
  <si>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</si>
  <si>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</si>
  <si>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</si>
  <si>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</si>
  <si>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</si>
  <si>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</si>
  <si>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</si>
  <si>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</si>
  <si>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</si>
  <si>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</si>
  <si>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</si>
  <si>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</si>
  <si>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</si>
  <si>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</si>
  <si>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</si>
  <si>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</si>
  <si>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</si>
  <si>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</si>
  <si>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</si>
  <si>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</si>
  <si>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</si>
  <si>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</si>
  <si>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</si>
  <si>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</si>
  <si>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</si>
  <si>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</si>
  <si>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</si>
  <si>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</si>
  <si>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</si>
  <si>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</si>
  <si>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</si>
  <si>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</si>
  <si>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</si>
  <si>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</si>
  <si>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</si>
  <si>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</si>
  <si>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</si>
  <si>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</si>
  <si>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</si>
  <si>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</si>
  <si>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Alton School District</t>
  </si>
  <si>
    <t>07/02</t>
  </si>
  <si>
    <t>08/12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</si>
</sst>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90" zoomScaleNormal="9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69" sqref="H669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15</v>
      </c>
      <c r="C2" s="21">
        <v>15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692833.86+83.11</f>
        <v>692916.97</v>
      </c>
      <c r="G9" s="18">
        <v>112</v>
      </c>
      <c r="H9" s="18">
        <v>0</v>
      </c>
      <c r="I9" s="18">
        <f>195134.19</f>
        <v>195134.19</v>
      </c>
      <c r="J9" s="67">
        <f>SUM(I438)</f>
        <v>1237710.83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>
        <v>30384.99</v>
      </c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272795.15000000002</v>
      </c>
      <c r="G12" s="18">
        <v>3569.37</v>
      </c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9301.4</v>
      </c>
      <c r="G13" s="18">
        <v>6675.57</v>
      </c>
      <c r="H13" s="18">
        <v>119278.17</v>
      </c>
      <c r="I13" s="18">
        <v>0</v>
      </c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35810</f>
        <v>35810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1010823.52</v>
      </c>
      <c r="G19" s="41">
        <f>SUM(G9:G18)</f>
        <v>40741.93</v>
      </c>
      <c r="H19" s="41">
        <f>SUM(H9:H18)</f>
        <v>119278.17</v>
      </c>
      <c r="I19" s="41">
        <f>SUM(I9:I18)</f>
        <v>195134.19</v>
      </c>
      <c r="J19" s="41">
        <f>SUM(J9:J18)</f>
        <v>1237710.83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39003.72</v>
      </c>
      <c r="H22" s="18">
        <v>94996.06</v>
      </c>
      <c r="I22" s="18">
        <v>142364.74</v>
      </c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119892.92</v>
      </c>
      <c r="G24" s="18">
        <v>123.47</v>
      </c>
      <c r="H24" s="18">
        <v>2275.5300000000002</v>
      </c>
      <c r="I24" s="18">
        <v>0</v>
      </c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310157.83</v>
      </c>
      <c r="G28" s="18">
        <v>1614.74</v>
      </c>
      <c r="H28" s="18">
        <v>21704.38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302.2</v>
      </c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430050.75</v>
      </c>
      <c r="G32" s="41">
        <f>SUM(G22:G31)</f>
        <v>40741.93</v>
      </c>
      <c r="H32" s="41">
        <f>SUM(H22:H31)</f>
        <v>119278.17</v>
      </c>
      <c r="I32" s="41">
        <f>SUM(I22:I31)</f>
        <v>142364.74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35810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v>0</v>
      </c>
      <c r="H47" s="18">
        <v>0</v>
      </c>
      <c r="I47" s="18">
        <v>52769.45</v>
      </c>
      <c r="J47" s="13">
        <f>SUM(I458)</f>
        <v>1237710.83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v>106784</v>
      </c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438178.77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580772.77</v>
      </c>
      <c r="G50" s="41">
        <f>SUM(G35:G49)</f>
        <v>0</v>
      </c>
      <c r="H50" s="41">
        <f>SUM(H35:H49)</f>
        <v>0</v>
      </c>
      <c r="I50" s="41">
        <f>SUM(I35:I49)</f>
        <v>52769.45</v>
      </c>
      <c r="J50" s="41">
        <f>SUM(J35:J49)</f>
        <v>1237710.83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1010823.52</v>
      </c>
      <c r="G51" s="41">
        <f>G50+G32</f>
        <v>40741.93</v>
      </c>
      <c r="H51" s="41">
        <f>H50+H32</f>
        <v>119278.17</v>
      </c>
      <c r="I51" s="41">
        <f>I50+I32</f>
        <v>195134.19</v>
      </c>
      <c r="J51" s="41">
        <f>J50+J32</f>
        <v>1237710.83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8053136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8053136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129.84</v>
      </c>
      <c r="G95" s="18">
        <v>101.93</v>
      </c>
      <c r="H95" s="18">
        <v>0</v>
      </c>
      <c r="I95" s="18">
        <v>259.36</v>
      </c>
      <c r="J95" s="18">
        <v>1722.93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118397.12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2955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40</v>
      </c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0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3124.84</v>
      </c>
      <c r="G110" s="41">
        <f>SUM(G95:G109)</f>
        <v>118499.04999999999</v>
      </c>
      <c r="H110" s="41">
        <f>SUM(H95:H109)</f>
        <v>0</v>
      </c>
      <c r="I110" s="41">
        <f>SUM(I95:I109)</f>
        <v>259.36</v>
      </c>
      <c r="J110" s="41">
        <f>SUM(J95:J109)</f>
        <v>1722.93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8056260.8399999999</v>
      </c>
      <c r="G111" s="41">
        <f>G59+G110</f>
        <v>118499.04999999999</v>
      </c>
      <c r="H111" s="41">
        <f>H59+H78+H93+H110</f>
        <v>0</v>
      </c>
      <c r="I111" s="41">
        <f>I59+I110</f>
        <v>259.36</v>
      </c>
      <c r="J111" s="41">
        <f>J59+J110</f>
        <v>1722.93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/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3661577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/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3661577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454795.34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87849.600000000006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/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542644.94000000006</v>
      </c>
      <c r="G135" s="41">
        <f>SUM(G122:G134)</f>
        <v>0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4204221.9400000004</v>
      </c>
      <c r="G139" s="41">
        <f>G120+SUM(G135:G136)</f>
        <v>0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>
        <v>11973.76</v>
      </c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>
        <v>3303.96</v>
      </c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15277.720000000001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91066.66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155742.43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87627.18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143236.85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92690.48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92690.48</v>
      </c>
      <c r="G161" s="41">
        <f>SUM(G149:G160)</f>
        <v>87627.18</v>
      </c>
      <c r="H161" s="41">
        <f>SUM(H149:H160)</f>
        <v>390045.94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92690.48</v>
      </c>
      <c r="G168" s="41">
        <f>G146+G161+SUM(G162:G167)</f>
        <v>102904.9</v>
      </c>
      <c r="H168" s="41">
        <f>H146+H161+SUM(H162:H167)</f>
        <v>390045.94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3569.37</v>
      </c>
      <c r="H178" s="18"/>
      <c r="I178" s="18"/>
      <c r="J178" s="18">
        <v>385000</v>
      </c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3569.37</v>
      </c>
      <c r="H182" s="41">
        <f>SUM(H178:H181)</f>
        <v>0</v>
      </c>
      <c r="I182" s="41">
        <f>SUM(I178:I181)</f>
        <v>0</v>
      </c>
      <c r="J182" s="41">
        <f>SUM(J178:J181)</f>
        <v>385000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3569.37</v>
      </c>
      <c r="H191" s="41">
        <f>+H182+SUM(H187:H190)</f>
        <v>0</v>
      </c>
      <c r="I191" s="41">
        <f>I176+I182+SUM(I187:I190)</f>
        <v>0</v>
      </c>
      <c r="J191" s="41">
        <f>J182</f>
        <v>385000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12353173.260000002</v>
      </c>
      <c r="G192" s="47">
        <f>G111+G139+G168+G191</f>
        <v>224973.31999999998</v>
      </c>
      <c r="H192" s="47">
        <f>H111+H139+H168+H191</f>
        <v>390045.94</v>
      </c>
      <c r="I192" s="47">
        <f>I111+I139+I168+I191</f>
        <v>259.36</v>
      </c>
      <c r="J192" s="47">
        <f>J111+J139+J191</f>
        <v>386722.93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2124131.27</v>
      </c>
      <c r="G196" s="18">
        <v>922811.63</v>
      </c>
      <c r="H196" s="18">
        <v>45821.47</v>
      </c>
      <c r="I196" s="18">
        <v>174199.38</v>
      </c>
      <c r="J196" s="18">
        <v>29236.41</v>
      </c>
      <c r="K196" s="18">
        <v>36940.46</v>
      </c>
      <c r="L196" s="19">
        <f>SUM(F196:K196)</f>
        <v>3333140.62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896876.63</v>
      </c>
      <c r="G197" s="18">
        <v>430125.09</v>
      </c>
      <c r="H197" s="18">
        <v>78803.13</v>
      </c>
      <c r="I197" s="18">
        <v>14410.69</v>
      </c>
      <c r="J197" s="18">
        <v>3127.78</v>
      </c>
      <c r="K197" s="18">
        <v>2087.06</v>
      </c>
      <c r="L197" s="19">
        <f>SUM(F197:K197)</f>
        <v>1425430.3800000001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40123.480000000003</v>
      </c>
      <c r="G199" s="18">
        <v>5363.04</v>
      </c>
      <c r="H199" s="18">
        <v>8138.35</v>
      </c>
      <c r="I199" s="18">
        <v>14124.1</v>
      </c>
      <c r="J199" s="18">
        <v>0</v>
      </c>
      <c r="K199" s="18">
        <v>1765</v>
      </c>
      <c r="L199" s="19">
        <f>SUM(F199:K199)</f>
        <v>69513.97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219793.27</v>
      </c>
      <c r="G201" s="18">
        <v>106106.75</v>
      </c>
      <c r="H201" s="18">
        <v>77944.929999999993</v>
      </c>
      <c r="I201" s="18">
        <v>5799.88</v>
      </c>
      <c r="J201" s="18">
        <v>0</v>
      </c>
      <c r="K201" s="18">
        <v>82</v>
      </c>
      <c r="L201" s="19">
        <f t="shared" ref="L201:L207" si="0">SUM(F201:K201)</f>
        <v>409726.83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75927.63</v>
      </c>
      <c r="G202" s="18">
        <v>69697.41</v>
      </c>
      <c r="H202" s="18">
        <v>5336.44</v>
      </c>
      <c r="I202" s="18">
        <v>11024.1</v>
      </c>
      <c r="J202" s="18">
        <v>0</v>
      </c>
      <c r="K202" s="18">
        <v>5026</v>
      </c>
      <c r="L202" s="19">
        <f t="shared" si="0"/>
        <v>167011.58000000002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83546.39</v>
      </c>
      <c r="G203" s="18">
        <v>28080.880000000001</v>
      </c>
      <c r="H203" s="18">
        <v>118257.33</v>
      </c>
      <c r="I203" s="18">
        <v>7491.5</v>
      </c>
      <c r="J203" s="18">
        <v>6974.87</v>
      </c>
      <c r="K203" s="18">
        <v>4757.3100000000004</v>
      </c>
      <c r="L203" s="19">
        <f t="shared" si="0"/>
        <v>249108.28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223987.83</v>
      </c>
      <c r="G204" s="18">
        <v>87347.59</v>
      </c>
      <c r="H204" s="18">
        <v>15226.95</v>
      </c>
      <c r="I204" s="18">
        <v>3701.42</v>
      </c>
      <c r="J204" s="18">
        <v>125.11</v>
      </c>
      <c r="K204" s="18">
        <v>1044</v>
      </c>
      <c r="L204" s="19">
        <f t="shared" si="0"/>
        <v>331432.89999999997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65166</v>
      </c>
      <c r="G205" s="18">
        <v>33204.54</v>
      </c>
      <c r="H205" s="18">
        <v>3230.93</v>
      </c>
      <c r="I205" s="18">
        <v>806.72</v>
      </c>
      <c r="J205" s="18">
        <v>0</v>
      </c>
      <c r="K205" s="18">
        <v>11578.2</v>
      </c>
      <c r="L205" s="19">
        <f t="shared" si="0"/>
        <v>113986.39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180461.03</v>
      </c>
      <c r="G206" s="18">
        <v>84050.8</v>
      </c>
      <c r="H206" s="18">
        <v>236068.5</v>
      </c>
      <c r="I206" s="18">
        <v>226349.82</v>
      </c>
      <c r="J206" s="18">
        <v>50128.97</v>
      </c>
      <c r="K206" s="18">
        <v>3311.4</v>
      </c>
      <c r="L206" s="19">
        <f t="shared" si="0"/>
        <v>780370.52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0</v>
      </c>
      <c r="G207" s="18">
        <v>0</v>
      </c>
      <c r="H207" s="18">
        <v>333345.73</v>
      </c>
      <c r="I207" s="18">
        <v>0</v>
      </c>
      <c r="J207" s="18">
        <v>0</v>
      </c>
      <c r="K207" s="18">
        <v>0</v>
      </c>
      <c r="L207" s="19">
        <f t="shared" si="0"/>
        <v>333345.73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3910013.53</v>
      </c>
      <c r="G210" s="41">
        <f t="shared" si="1"/>
        <v>1766787.73</v>
      </c>
      <c r="H210" s="41">
        <f t="shared" si="1"/>
        <v>922173.76</v>
      </c>
      <c r="I210" s="41">
        <f t="shared" si="1"/>
        <v>457907.61000000004</v>
      </c>
      <c r="J210" s="41">
        <f t="shared" si="1"/>
        <v>89593.14</v>
      </c>
      <c r="K210" s="41">
        <f t="shared" si="1"/>
        <v>66591.429999999993</v>
      </c>
      <c r="L210" s="41">
        <f t="shared" si="1"/>
        <v>7213067.2000000011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0</v>
      </c>
      <c r="G214" s="18">
        <v>0</v>
      </c>
      <c r="H214" s="18">
        <v>0</v>
      </c>
      <c r="I214" s="18">
        <v>0</v>
      </c>
      <c r="J214" s="18">
        <v>0</v>
      </c>
      <c r="K214" s="18">
        <v>0</v>
      </c>
      <c r="L214" s="19">
        <f>SUM(F214:K214)</f>
        <v>0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9">
        <f>SUM(F215:K215)</f>
        <v>0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9">
        <f t="shared" ref="L219:L225" si="2">SUM(F219:K219)</f>
        <v>0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0</v>
      </c>
      <c r="G220" s="18">
        <v>0</v>
      </c>
      <c r="H220" s="18">
        <v>0</v>
      </c>
      <c r="I220" s="18">
        <v>0</v>
      </c>
      <c r="J220" s="18">
        <v>0</v>
      </c>
      <c r="K220" s="18">
        <v>0</v>
      </c>
      <c r="L220" s="19">
        <f t="shared" si="2"/>
        <v>0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9">
        <f t="shared" si="2"/>
        <v>0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0</v>
      </c>
      <c r="G222" s="18">
        <v>0</v>
      </c>
      <c r="H222" s="18">
        <v>0</v>
      </c>
      <c r="I222" s="18">
        <v>0</v>
      </c>
      <c r="J222" s="18">
        <v>0</v>
      </c>
      <c r="K222" s="18">
        <v>0</v>
      </c>
      <c r="L222" s="19">
        <f t="shared" si="2"/>
        <v>0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0</v>
      </c>
      <c r="G223" s="18">
        <v>0</v>
      </c>
      <c r="H223" s="18">
        <v>0</v>
      </c>
      <c r="I223" s="18">
        <v>0</v>
      </c>
      <c r="J223" s="18">
        <v>0</v>
      </c>
      <c r="K223" s="18">
        <v>0</v>
      </c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9">
        <f t="shared" si="2"/>
        <v>0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v>0</v>
      </c>
      <c r="G225" s="18">
        <v>0</v>
      </c>
      <c r="H225" s="18">
        <v>0</v>
      </c>
      <c r="I225" s="18">
        <v>0</v>
      </c>
      <c r="J225" s="18">
        <v>0</v>
      </c>
      <c r="K225" s="18">
        <v>0</v>
      </c>
      <c r="L225" s="19">
        <f t="shared" si="2"/>
        <v>0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v>0</v>
      </c>
      <c r="G226" s="18">
        <v>0</v>
      </c>
      <c r="H226" s="18">
        <v>0</v>
      </c>
      <c r="I226" s="18">
        <v>0</v>
      </c>
      <c r="J226" s="18">
        <v>0</v>
      </c>
      <c r="K226" s="18">
        <v>0</v>
      </c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172.5</v>
      </c>
      <c r="G232" s="18">
        <v>13.19</v>
      </c>
      <c r="H232" s="18">
        <v>3319773.67</v>
      </c>
      <c r="I232" s="18">
        <v>0</v>
      </c>
      <c r="J232" s="18">
        <v>0</v>
      </c>
      <c r="K232" s="18">
        <v>0</v>
      </c>
      <c r="L232" s="19">
        <f>SUM(F232:K232)</f>
        <v>3319959.36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66253.320000000007</v>
      </c>
      <c r="G233" s="18">
        <v>11558.32</v>
      </c>
      <c r="H233" s="18">
        <v>204753.03</v>
      </c>
      <c r="I233" s="18">
        <v>0</v>
      </c>
      <c r="J233" s="18">
        <v>0</v>
      </c>
      <c r="K233" s="18">
        <v>0</v>
      </c>
      <c r="L233" s="19">
        <f>SUM(F233:K233)</f>
        <v>282564.67000000004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0</v>
      </c>
      <c r="L234" s="19">
        <f>SUM(F234:K234)</f>
        <v>0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18">
        <v>0</v>
      </c>
      <c r="L235" s="19">
        <f>SUM(F235:K235)</f>
        <v>0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0</v>
      </c>
      <c r="G237" s="18">
        <v>0</v>
      </c>
      <c r="H237" s="18">
        <v>0</v>
      </c>
      <c r="I237" s="18">
        <v>0</v>
      </c>
      <c r="J237" s="18">
        <v>0</v>
      </c>
      <c r="K237" s="18">
        <v>0</v>
      </c>
      <c r="L237" s="19">
        <f t="shared" ref="L237:L243" si="4">SUM(F237:K237)</f>
        <v>0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0</v>
      </c>
      <c r="G238" s="18">
        <v>0</v>
      </c>
      <c r="H238" s="18">
        <v>0</v>
      </c>
      <c r="I238" s="18">
        <v>0</v>
      </c>
      <c r="J238" s="18">
        <v>0</v>
      </c>
      <c r="K238" s="18">
        <v>0</v>
      </c>
      <c r="L238" s="19">
        <f t="shared" si="4"/>
        <v>0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0</v>
      </c>
      <c r="G239" s="18">
        <v>0</v>
      </c>
      <c r="H239" s="18">
        <v>0</v>
      </c>
      <c r="I239" s="18">
        <v>0</v>
      </c>
      <c r="J239" s="18">
        <v>0</v>
      </c>
      <c r="K239" s="18">
        <v>0</v>
      </c>
      <c r="L239" s="19">
        <f t="shared" si="4"/>
        <v>0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0</v>
      </c>
      <c r="G240" s="18">
        <v>0</v>
      </c>
      <c r="H240" s="18">
        <v>0</v>
      </c>
      <c r="I240" s="18">
        <v>0</v>
      </c>
      <c r="J240" s="18">
        <v>0</v>
      </c>
      <c r="K240" s="18">
        <v>0</v>
      </c>
      <c r="L240" s="19">
        <f t="shared" si="4"/>
        <v>0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0</v>
      </c>
      <c r="G241" s="18">
        <v>0</v>
      </c>
      <c r="H241" s="18">
        <v>0</v>
      </c>
      <c r="I241" s="18">
        <v>0</v>
      </c>
      <c r="J241" s="18">
        <v>0</v>
      </c>
      <c r="K241" s="18">
        <v>0</v>
      </c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0</v>
      </c>
      <c r="G243" s="18">
        <v>0</v>
      </c>
      <c r="H243" s="18">
        <v>164703.48000000001</v>
      </c>
      <c r="I243" s="18">
        <v>0</v>
      </c>
      <c r="J243" s="18">
        <v>0</v>
      </c>
      <c r="K243" s="18">
        <v>0</v>
      </c>
      <c r="L243" s="19">
        <f t="shared" si="4"/>
        <v>164703.48000000001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v>0</v>
      </c>
      <c r="G244" s="18">
        <v>0</v>
      </c>
      <c r="H244" s="18">
        <v>0</v>
      </c>
      <c r="I244" s="18">
        <v>0</v>
      </c>
      <c r="J244" s="18">
        <v>0</v>
      </c>
      <c r="K244" s="18">
        <v>0</v>
      </c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66425.820000000007</v>
      </c>
      <c r="G246" s="41">
        <f t="shared" si="5"/>
        <v>11571.51</v>
      </c>
      <c r="H246" s="41">
        <f t="shared" si="5"/>
        <v>3689230.1799999997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3767227.51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>
        <v>0</v>
      </c>
      <c r="G249" s="18">
        <v>0</v>
      </c>
      <c r="H249" s="18">
        <v>0</v>
      </c>
      <c r="I249" s="18">
        <v>0</v>
      </c>
      <c r="J249" s="18">
        <v>0</v>
      </c>
      <c r="K249" s="18">
        <v>0</v>
      </c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0</v>
      </c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>
        <v>0</v>
      </c>
      <c r="G254" s="18">
        <v>0</v>
      </c>
      <c r="H254" s="18">
        <v>0</v>
      </c>
      <c r="I254" s="18">
        <v>0</v>
      </c>
      <c r="J254" s="18">
        <v>5535.54</v>
      </c>
      <c r="K254" s="18"/>
      <c r="L254" s="19">
        <f t="shared" si="6"/>
        <v>5535.54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5535.54</v>
      </c>
      <c r="K255" s="41">
        <f t="shared" si="7"/>
        <v>0</v>
      </c>
      <c r="L255" s="41">
        <f>SUM(F255:K255)</f>
        <v>5535.54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3976439.3499999996</v>
      </c>
      <c r="G256" s="41">
        <f t="shared" si="8"/>
        <v>1778359.24</v>
      </c>
      <c r="H256" s="41">
        <f t="shared" si="8"/>
        <v>4611403.9399999995</v>
      </c>
      <c r="I256" s="41">
        <f t="shared" si="8"/>
        <v>457907.61000000004</v>
      </c>
      <c r="J256" s="41">
        <f t="shared" si="8"/>
        <v>95128.68</v>
      </c>
      <c r="K256" s="41">
        <f t="shared" si="8"/>
        <v>66591.429999999993</v>
      </c>
      <c r="L256" s="41">
        <f t="shared" si="8"/>
        <v>10985830.25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963000</v>
      </c>
      <c r="L259" s="19">
        <f>SUM(F259:K259)</f>
        <v>963000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70778.84</v>
      </c>
      <c r="L260" s="19">
        <f>SUM(F260:K260)</f>
        <v>70778.84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3569.37</v>
      </c>
      <c r="L262" s="19">
        <f>SUM(F262:K262)</f>
        <v>3569.37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385000</v>
      </c>
      <c r="L265" s="19">
        <f t="shared" si="9"/>
        <v>385000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1422348.21</v>
      </c>
      <c r="L269" s="41">
        <f t="shared" si="9"/>
        <v>1422348.21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3976439.3499999996</v>
      </c>
      <c r="G270" s="42">
        <f t="shared" si="11"/>
        <v>1778359.24</v>
      </c>
      <c r="H270" s="42">
        <f t="shared" si="11"/>
        <v>4611403.9399999995</v>
      </c>
      <c r="I270" s="42">
        <f t="shared" si="11"/>
        <v>457907.61000000004</v>
      </c>
      <c r="J270" s="42">
        <f t="shared" si="11"/>
        <v>95128.68</v>
      </c>
      <c r="K270" s="42">
        <f t="shared" si="11"/>
        <v>1488939.64</v>
      </c>
      <c r="L270" s="42">
        <f t="shared" si="11"/>
        <v>12408178.460000001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148836.81</v>
      </c>
      <c r="G275" s="18">
        <v>19522.310000000001</v>
      </c>
      <c r="H275" s="18">
        <v>4667.1400000000003</v>
      </c>
      <c r="I275" s="18">
        <v>11668.71</v>
      </c>
      <c r="J275" s="18">
        <v>32729.97</v>
      </c>
      <c r="K275" s="18">
        <v>0</v>
      </c>
      <c r="L275" s="19">
        <f>SUM(F275:K275)</f>
        <v>217424.94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39277.14</v>
      </c>
      <c r="G276" s="18">
        <v>5295.36</v>
      </c>
      <c r="H276" s="18">
        <v>57.17</v>
      </c>
      <c r="I276" s="18">
        <v>2718.4</v>
      </c>
      <c r="J276" s="18">
        <v>23844.53</v>
      </c>
      <c r="K276" s="18">
        <v>0</v>
      </c>
      <c r="L276" s="19">
        <f>SUM(F276:K276)</f>
        <v>71192.600000000006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3266.3</v>
      </c>
      <c r="G278" s="18">
        <v>592.1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3858.4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0</v>
      </c>
      <c r="G280" s="18">
        <v>0</v>
      </c>
      <c r="H280" s="18">
        <v>76875</v>
      </c>
      <c r="I280" s="18">
        <v>0</v>
      </c>
      <c r="J280" s="18">
        <v>0</v>
      </c>
      <c r="K280" s="18">
        <v>0</v>
      </c>
      <c r="L280" s="19">
        <f t="shared" ref="L280:L286" si="12">SUM(F280:K280)</f>
        <v>76875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4730.29</v>
      </c>
      <c r="G281" s="18">
        <v>577.80999999999995</v>
      </c>
      <c r="H281" s="18">
        <v>15004.66</v>
      </c>
      <c r="I281" s="18">
        <v>382.24</v>
      </c>
      <c r="J281" s="18">
        <v>0</v>
      </c>
      <c r="K281" s="18">
        <v>0</v>
      </c>
      <c r="L281" s="19">
        <f t="shared" si="12"/>
        <v>20695.000000000004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v>0</v>
      </c>
      <c r="G282" s="18">
        <v>0</v>
      </c>
      <c r="H282" s="18">
        <v>0</v>
      </c>
      <c r="I282" s="18">
        <v>0</v>
      </c>
      <c r="J282" s="18">
        <v>0</v>
      </c>
      <c r="K282" s="18">
        <v>0</v>
      </c>
      <c r="L282" s="19">
        <f t="shared" si="12"/>
        <v>0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196110.54</v>
      </c>
      <c r="G289" s="42">
        <f t="shared" si="13"/>
        <v>25987.58</v>
      </c>
      <c r="H289" s="42">
        <f t="shared" si="13"/>
        <v>96603.97</v>
      </c>
      <c r="I289" s="42">
        <f t="shared" si="13"/>
        <v>14769.349999999999</v>
      </c>
      <c r="J289" s="42">
        <f t="shared" si="13"/>
        <v>56574.5</v>
      </c>
      <c r="K289" s="42">
        <f t="shared" si="13"/>
        <v>0</v>
      </c>
      <c r="L289" s="41">
        <f t="shared" si="13"/>
        <v>390045.94000000006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0</v>
      </c>
      <c r="G299" s="18">
        <v>0</v>
      </c>
      <c r="H299" s="18">
        <v>0</v>
      </c>
      <c r="I299" s="18">
        <v>0</v>
      </c>
      <c r="J299" s="18">
        <v>0</v>
      </c>
      <c r="K299" s="18">
        <v>0</v>
      </c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0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9">
        <f>SUM(F313:K313)</f>
        <v>0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0</v>
      </c>
      <c r="G318" s="18">
        <v>0</v>
      </c>
      <c r="H318" s="18">
        <v>0</v>
      </c>
      <c r="I318" s="18">
        <v>0</v>
      </c>
      <c r="J318" s="18">
        <v>0</v>
      </c>
      <c r="K318" s="18">
        <v>0</v>
      </c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>
        <v>0</v>
      </c>
      <c r="G320" s="18">
        <v>0</v>
      </c>
      <c r="H320" s="18">
        <v>0</v>
      </c>
      <c r="I320" s="18">
        <v>0</v>
      </c>
      <c r="J320" s="18">
        <v>0</v>
      </c>
      <c r="K320" s="18">
        <v>0</v>
      </c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>
        <v>0</v>
      </c>
      <c r="G331" s="18">
        <v>0</v>
      </c>
      <c r="H331" s="18">
        <v>0</v>
      </c>
      <c r="I331" s="18">
        <v>0</v>
      </c>
      <c r="J331" s="18">
        <v>0</v>
      </c>
      <c r="K331" s="18">
        <v>0</v>
      </c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>
        <v>0</v>
      </c>
      <c r="G332" s="18">
        <v>0</v>
      </c>
      <c r="H332" s="18">
        <v>0</v>
      </c>
      <c r="I332" s="18">
        <v>0</v>
      </c>
      <c r="J332" s="18">
        <v>0</v>
      </c>
      <c r="K332" s="18">
        <v>0</v>
      </c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196110.54</v>
      </c>
      <c r="G337" s="41">
        <f t="shared" si="20"/>
        <v>25987.58</v>
      </c>
      <c r="H337" s="41">
        <f t="shared" si="20"/>
        <v>96603.97</v>
      </c>
      <c r="I337" s="41">
        <f t="shared" si="20"/>
        <v>14769.349999999999</v>
      </c>
      <c r="J337" s="41">
        <f t="shared" si="20"/>
        <v>56574.5</v>
      </c>
      <c r="K337" s="41">
        <f t="shared" si="20"/>
        <v>0</v>
      </c>
      <c r="L337" s="41">
        <f t="shared" si="20"/>
        <v>390045.94000000006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>
        <v>0</v>
      </c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>
        <v>0</v>
      </c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>
        <v>0</v>
      </c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0</v>
      </c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>
        <v>0</v>
      </c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>
        <v>0</v>
      </c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>
        <v>0</v>
      </c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>
        <v>0</v>
      </c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196110.54</v>
      </c>
      <c r="G351" s="41">
        <f>G337</f>
        <v>25987.58</v>
      </c>
      <c r="H351" s="41">
        <f>H337</f>
        <v>96603.97</v>
      </c>
      <c r="I351" s="41">
        <f>I337</f>
        <v>14769.349999999999</v>
      </c>
      <c r="J351" s="41">
        <f>J337</f>
        <v>56574.5</v>
      </c>
      <c r="K351" s="47">
        <f>K337+K350</f>
        <v>0</v>
      </c>
      <c r="L351" s="41">
        <f>L337+L350</f>
        <v>390045.94000000006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98881.25</v>
      </c>
      <c r="G357" s="18">
        <v>37459.019999999997</v>
      </c>
      <c r="H357" s="18">
        <v>672.5</v>
      </c>
      <c r="I357" s="18">
        <v>98083.04</v>
      </c>
      <c r="J357" s="18">
        <v>0</v>
      </c>
      <c r="K357" s="18">
        <v>981.07</v>
      </c>
      <c r="L357" s="13">
        <f>SUM(F357:K357)</f>
        <v>236076.88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0</v>
      </c>
      <c r="G358" s="18">
        <v>0</v>
      </c>
      <c r="H358" s="18">
        <v>0</v>
      </c>
      <c r="I358" s="18">
        <v>0</v>
      </c>
      <c r="J358" s="18">
        <v>0</v>
      </c>
      <c r="K358" s="18">
        <v>0</v>
      </c>
      <c r="L358" s="19">
        <f>SUM(F358:K358)</f>
        <v>0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0</v>
      </c>
      <c r="G359" s="18">
        <v>0</v>
      </c>
      <c r="H359" s="18">
        <v>0</v>
      </c>
      <c r="I359" s="18">
        <v>0</v>
      </c>
      <c r="J359" s="18">
        <v>0</v>
      </c>
      <c r="K359" s="18">
        <v>0</v>
      </c>
      <c r="L359" s="19">
        <f>SUM(F359:K359)</f>
        <v>0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>
        <v>0</v>
      </c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98881.25</v>
      </c>
      <c r="G361" s="47">
        <f t="shared" si="22"/>
        <v>37459.019999999997</v>
      </c>
      <c r="H361" s="47">
        <f t="shared" si="22"/>
        <v>672.5</v>
      </c>
      <c r="I361" s="47">
        <f t="shared" si="22"/>
        <v>98083.04</v>
      </c>
      <c r="J361" s="47">
        <f t="shared" si="22"/>
        <v>0</v>
      </c>
      <c r="K361" s="47">
        <f t="shared" si="22"/>
        <v>981.07</v>
      </c>
      <c r="L361" s="47">
        <f t="shared" si="22"/>
        <v>236076.88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90275.39</v>
      </c>
      <c r="G366" s="18">
        <v>0</v>
      </c>
      <c r="H366" s="18">
        <v>0</v>
      </c>
      <c r="I366" s="56">
        <f>SUM(F366:H366)</f>
        <v>90275.39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7807.65</v>
      </c>
      <c r="G367" s="63">
        <v>0</v>
      </c>
      <c r="H367" s="63">
        <v>0</v>
      </c>
      <c r="I367" s="56">
        <f>SUM(F367:H367)</f>
        <v>7807.65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98083.04</v>
      </c>
      <c r="G368" s="47">
        <f>SUM(G366:G367)</f>
        <v>0</v>
      </c>
      <c r="H368" s="47">
        <f>SUM(H366:H367)</f>
        <v>0</v>
      </c>
      <c r="I368" s="47">
        <f>SUM(I366:I367)</f>
        <v>98083.04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>
        <v>0</v>
      </c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>
        <v>0</v>
      </c>
      <c r="G386" s="18">
        <v>0</v>
      </c>
      <c r="H386" s="18"/>
      <c r="I386" s="18">
        <v>0</v>
      </c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>
        <v>0</v>
      </c>
      <c r="G387" s="18">
        <v>0</v>
      </c>
      <c r="H387" s="18"/>
      <c r="I387" s="18">
        <v>0</v>
      </c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>
        <v>0</v>
      </c>
      <c r="G388" s="18">
        <v>20000</v>
      </c>
      <c r="H388" s="18">
        <v>38.950000000000003</v>
      </c>
      <c r="I388" s="18">
        <v>0</v>
      </c>
      <c r="J388" s="24" t="s">
        <v>289</v>
      </c>
      <c r="K388" s="24" t="s">
        <v>289</v>
      </c>
      <c r="L388" s="56">
        <f t="shared" si="25"/>
        <v>20038.95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>
        <v>0</v>
      </c>
      <c r="G389" s="18">
        <v>0</v>
      </c>
      <c r="H389" s="18"/>
      <c r="I389" s="18">
        <v>0</v>
      </c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>
        <v>0</v>
      </c>
      <c r="G390" s="18">
        <v>0</v>
      </c>
      <c r="H390" s="18"/>
      <c r="I390" s="18">
        <v>0</v>
      </c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>
        <v>0</v>
      </c>
      <c r="G391" s="18">
        <v>0</v>
      </c>
      <c r="H391" s="18">
        <v>360</v>
      </c>
      <c r="I391" s="18">
        <v>0</v>
      </c>
      <c r="J391" s="24" t="s">
        <v>289</v>
      </c>
      <c r="K391" s="24" t="s">
        <v>289</v>
      </c>
      <c r="L391" s="56">
        <f t="shared" si="25"/>
        <v>360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20000</v>
      </c>
      <c r="H392" s="139">
        <f>SUM(H386:H391)</f>
        <v>398.95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20398.95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>
        <v>0</v>
      </c>
      <c r="G394" s="18">
        <v>0</v>
      </c>
      <c r="H394" s="18"/>
      <c r="I394" s="18">
        <v>0</v>
      </c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>
        <v>0</v>
      </c>
      <c r="G395" s="18">
        <v>365000</v>
      </c>
      <c r="H395" s="18">
        <v>1323.98</v>
      </c>
      <c r="I395" s="18">
        <v>0</v>
      </c>
      <c r="J395" s="24" t="s">
        <v>289</v>
      </c>
      <c r="K395" s="24" t="s">
        <v>289</v>
      </c>
      <c r="L395" s="56">
        <f t="shared" si="26"/>
        <v>366323.98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>
        <v>0</v>
      </c>
      <c r="G396" s="18">
        <v>0</v>
      </c>
      <c r="H396" s="18"/>
      <c r="I396" s="18">
        <v>0</v>
      </c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>
        <v>0</v>
      </c>
      <c r="G397" s="18">
        <v>0</v>
      </c>
      <c r="H397" s="18"/>
      <c r="I397" s="18">
        <v>0</v>
      </c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>
        <v>0</v>
      </c>
      <c r="G398" s="18">
        <v>0</v>
      </c>
      <c r="H398" s="18"/>
      <c r="I398" s="18">
        <v>0</v>
      </c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>
        <v>0</v>
      </c>
      <c r="G399" s="18">
        <v>0</v>
      </c>
      <c r="H399" s="18"/>
      <c r="I399" s="18">
        <v>0</v>
      </c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365000</v>
      </c>
      <c r="H400" s="47">
        <f>SUM(H394:H399)</f>
        <v>1323.98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366323.98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385000</v>
      </c>
      <c r="H407" s="47">
        <f>H392+H400+H406</f>
        <v>1722.93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386722.93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>
        <v>0</v>
      </c>
      <c r="G414" s="18">
        <v>0</v>
      </c>
      <c r="H414" s="18">
        <v>32642.27</v>
      </c>
      <c r="I414" s="18">
        <v>0</v>
      </c>
      <c r="J414" s="18">
        <v>0</v>
      </c>
      <c r="K414" s="18">
        <v>0</v>
      </c>
      <c r="L414" s="56">
        <f t="shared" si="27"/>
        <v>32642.27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32642.27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32642.27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32642.27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32642.27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306251.31</v>
      </c>
      <c r="G438" s="18">
        <v>931459.52</v>
      </c>
      <c r="H438" s="18">
        <v>0</v>
      </c>
      <c r="I438" s="56">
        <f t="shared" ref="I438:I444" si="33">SUM(F438:H438)</f>
        <v>1237710.83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0</v>
      </c>
      <c r="G439" s="18">
        <v>0</v>
      </c>
      <c r="H439" s="18">
        <v>0</v>
      </c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>
        <v>0</v>
      </c>
      <c r="G440" s="18">
        <v>0</v>
      </c>
      <c r="H440" s="18">
        <v>0</v>
      </c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>
        <v>0</v>
      </c>
      <c r="G441" s="18">
        <v>0</v>
      </c>
      <c r="H441" s="18">
        <v>0</v>
      </c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>
        <v>0</v>
      </c>
      <c r="G442" s="18">
        <v>0</v>
      </c>
      <c r="H442" s="18">
        <v>0</v>
      </c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>
        <v>0</v>
      </c>
      <c r="G443" s="18">
        <v>0</v>
      </c>
      <c r="H443" s="18">
        <v>0</v>
      </c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>
        <v>0</v>
      </c>
      <c r="G444" s="18">
        <v>0</v>
      </c>
      <c r="H444" s="18">
        <v>0</v>
      </c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306251.31</v>
      </c>
      <c r="G445" s="13">
        <f>SUM(G438:G444)</f>
        <v>931459.52</v>
      </c>
      <c r="H445" s="13">
        <f>SUM(H438:H444)</f>
        <v>0</v>
      </c>
      <c r="I445" s="13">
        <f>SUM(I438:I444)</f>
        <v>1237710.83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>
        <v>0</v>
      </c>
      <c r="G447" s="18">
        <v>0</v>
      </c>
      <c r="H447" s="18">
        <v>0</v>
      </c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>
        <v>0</v>
      </c>
      <c r="G449" s="18">
        <v>0</v>
      </c>
      <c r="H449" s="18">
        <v>0</v>
      </c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>
        <v>0</v>
      </c>
      <c r="G450" s="18">
        <v>0</v>
      </c>
      <c r="H450" s="18">
        <v>0</v>
      </c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>
        <v>0</v>
      </c>
      <c r="G453" s="18">
        <v>0</v>
      </c>
      <c r="H453" s="18">
        <v>0</v>
      </c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>
        <v>0</v>
      </c>
      <c r="G454" s="18">
        <v>0</v>
      </c>
      <c r="H454" s="18">
        <v>0</v>
      </c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>
        <v>0</v>
      </c>
      <c r="G455" s="18">
        <v>0</v>
      </c>
      <c r="H455" s="18">
        <v>0</v>
      </c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>
        <v>0</v>
      </c>
      <c r="G456" s="18">
        <v>0</v>
      </c>
      <c r="H456" s="18">
        <v>0</v>
      </c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>
        <v>0</v>
      </c>
      <c r="G457" s="18">
        <v>0</v>
      </c>
      <c r="H457" s="18">
        <v>0</v>
      </c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306251.31</v>
      </c>
      <c r="G458" s="18">
        <v>931459.52</v>
      </c>
      <c r="H458" s="18">
        <v>0</v>
      </c>
      <c r="I458" s="56">
        <f t="shared" si="34"/>
        <v>1237710.83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306251.31</v>
      </c>
      <c r="G459" s="83">
        <f>SUM(G453:G458)</f>
        <v>931459.52</v>
      </c>
      <c r="H459" s="83">
        <f>SUM(H453:H458)</f>
        <v>0</v>
      </c>
      <c r="I459" s="83">
        <f>SUM(I453:I458)</f>
        <v>1237710.83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306251.31</v>
      </c>
      <c r="G460" s="42">
        <f>G451+G459</f>
        <v>931459.52</v>
      </c>
      <c r="H460" s="42">
        <f>H451+H459</f>
        <v>0</v>
      </c>
      <c r="I460" s="42">
        <f>I451+I459</f>
        <v>1237710.83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599967.97</v>
      </c>
      <c r="G464" s="18">
        <v>11103.56</v>
      </c>
      <c r="H464" s="18">
        <v>0</v>
      </c>
      <c r="I464" s="18">
        <v>52510.09</v>
      </c>
      <c r="J464" s="18">
        <v>883630.17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12353173.26</v>
      </c>
      <c r="G467" s="18">
        <v>224973.32</v>
      </c>
      <c r="H467" s="18">
        <v>390045.94</v>
      </c>
      <c r="I467" s="18">
        <v>259.36</v>
      </c>
      <c r="J467" s="18">
        <v>386722.93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>
        <v>35810</v>
      </c>
      <c r="G468" s="18"/>
      <c r="H468" s="18"/>
      <c r="I468" s="18"/>
      <c r="J468" s="18">
        <v>0</v>
      </c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12388983.26</v>
      </c>
      <c r="G469" s="53">
        <f>SUM(G467:G468)</f>
        <v>224973.32</v>
      </c>
      <c r="H469" s="53">
        <f>SUM(H467:H468)</f>
        <v>390045.94</v>
      </c>
      <c r="I469" s="53">
        <f>SUM(I467:I468)</f>
        <v>259.36</v>
      </c>
      <c r="J469" s="53">
        <f>SUM(J467:J468)</f>
        <v>386722.93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12408178.460000001</v>
      </c>
      <c r="G471" s="18">
        <v>236076.88</v>
      </c>
      <c r="H471" s="18">
        <v>390045.94</v>
      </c>
      <c r="I471" s="18">
        <v>0</v>
      </c>
      <c r="J471" s="18">
        <v>32642.27</v>
      </c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12408178.460000001</v>
      </c>
      <c r="G473" s="53">
        <f>SUM(G471:G472)</f>
        <v>236076.88</v>
      </c>
      <c r="H473" s="53">
        <f>SUM(H471:H472)</f>
        <v>390045.94</v>
      </c>
      <c r="I473" s="53">
        <f>SUM(I471:I472)</f>
        <v>0</v>
      </c>
      <c r="J473" s="53">
        <f>SUM(J471:J472)</f>
        <v>32642.27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580772.76999999955</v>
      </c>
      <c r="G475" s="53">
        <f>(G464+G469)- G473</f>
        <v>0</v>
      </c>
      <c r="H475" s="53">
        <f>(H464+H469)- H473</f>
        <v>0</v>
      </c>
      <c r="I475" s="53">
        <f>(I464+I469)- I473</f>
        <v>52769.45</v>
      </c>
      <c r="J475" s="53">
        <f>(J464+J469)- J473</f>
        <v>1237710.83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10</v>
      </c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9633000</v>
      </c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4.9000000000000004</v>
      </c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1926000</v>
      </c>
      <c r="G494" s="18"/>
      <c r="H494" s="18"/>
      <c r="I494" s="18"/>
      <c r="J494" s="18"/>
      <c r="K494" s="53">
        <f>SUM(F494:J494)</f>
        <v>1926000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963000</v>
      </c>
      <c r="G496" s="18"/>
      <c r="H496" s="18"/>
      <c r="I496" s="18"/>
      <c r="J496" s="18"/>
      <c r="K496" s="53">
        <f t="shared" si="35"/>
        <v>963000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963000</v>
      </c>
      <c r="G497" s="205"/>
      <c r="H497" s="205"/>
      <c r="I497" s="205"/>
      <c r="J497" s="205"/>
      <c r="K497" s="206">
        <f t="shared" si="35"/>
        <v>963000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23593.5</v>
      </c>
      <c r="G498" s="18"/>
      <c r="H498" s="18"/>
      <c r="I498" s="18"/>
      <c r="J498" s="18"/>
      <c r="K498" s="53">
        <f t="shared" si="35"/>
        <v>23593.5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986593.5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986593.5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963000</v>
      </c>
      <c r="G500" s="205"/>
      <c r="H500" s="205"/>
      <c r="I500" s="205"/>
      <c r="J500" s="205"/>
      <c r="K500" s="206">
        <f t="shared" si="35"/>
        <v>963000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23593.5</v>
      </c>
      <c r="G501" s="18"/>
      <c r="H501" s="18"/>
      <c r="I501" s="18"/>
      <c r="J501" s="18"/>
      <c r="K501" s="53">
        <f t="shared" si="35"/>
        <v>23593.5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986593.5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986593.5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760158.45</v>
      </c>
      <c r="G520" s="18">
        <v>351822.36</v>
      </c>
      <c r="H520" s="18">
        <v>77648.62</v>
      </c>
      <c r="I520" s="18">
        <v>14984.67</v>
      </c>
      <c r="J520" s="18">
        <v>26972.31</v>
      </c>
      <c r="K520" s="18">
        <v>995.56</v>
      </c>
      <c r="L520" s="88">
        <f>SUM(F520:K520)</f>
        <v>1232581.9700000002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0</v>
      </c>
      <c r="G521" s="18">
        <v>0</v>
      </c>
      <c r="H521" s="18">
        <v>0</v>
      </c>
      <c r="I521" s="18">
        <v>0</v>
      </c>
      <c r="J521" s="18">
        <v>0</v>
      </c>
      <c r="K521" s="18">
        <v>0</v>
      </c>
      <c r="L521" s="88">
        <f>SUM(F521:K521)</f>
        <v>0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66253.320000000007</v>
      </c>
      <c r="G522" s="18">
        <v>11558.32</v>
      </c>
      <c r="H522" s="18">
        <v>204753.03</v>
      </c>
      <c r="I522" s="18">
        <v>0</v>
      </c>
      <c r="J522" s="18">
        <v>0</v>
      </c>
      <c r="K522" s="18">
        <v>0</v>
      </c>
      <c r="L522" s="88">
        <f>SUM(F522:K522)</f>
        <v>282564.67000000004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826411.77</v>
      </c>
      <c r="G523" s="108">
        <f t="shared" ref="G523:L523" si="36">SUM(G520:G522)</f>
        <v>363380.68</v>
      </c>
      <c r="H523" s="108">
        <f t="shared" si="36"/>
        <v>282401.65000000002</v>
      </c>
      <c r="I523" s="108">
        <f t="shared" si="36"/>
        <v>14984.67</v>
      </c>
      <c r="J523" s="108">
        <f t="shared" si="36"/>
        <v>26972.31</v>
      </c>
      <c r="K523" s="108">
        <f t="shared" si="36"/>
        <v>995.56</v>
      </c>
      <c r="L523" s="89">
        <f t="shared" si="36"/>
        <v>1515146.6400000001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34777.269999999997</v>
      </c>
      <c r="G525" s="18">
        <v>8326.7000000000007</v>
      </c>
      <c r="H525" s="18">
        <v>139215</v>
      </c>
      <c r="I525" s="18">
        <v>0</v>
      </c>
      <c r="J525" s="18">
        <v>0</v>
      </c>
      <c r="K525" s="18">
        <v>0</v>
      </c>
      <c r="L525" s="88">
        <f>SUM(F525:K525)</f>
        <v>182318.97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0</v>
      </c>
      <c r="G526" s="18">
        <v>0</v>
      </c>
      <c r="H526" s="18">
        <v>0</v>
      </c>
      <c r="I526" s="18">
        <v>0</v>
      </c>
      <c r="J526" s="18">
        <v>0</v>
      </c>
      <c r="K526" s="18">
        <v>0</v>
      </c>
      <c r="L526" s="88">
        <f>SUM(F526:K526)</f>
        <v>0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0</v>
      </c>
      <c r="G527" s="18">
        <v>0</v>
      </c>
      <c r="H527" s="18">
        <v>0</v>
      </c>
      <c r="I527" s="18">
        <v>0</v>
      </c>
      <c r="J527" s="18">
        <v>0</v>
      </c>
      <c r="K527" s="18">
        <v>0</v>
      </c>
      <c r="L527" s="88">
        <f>SUM(F527:K527)</f>
        <v>0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34777.269999999997</v>
      </c>
      <c r="G528" s="89">
        <f t="shared" ref="G528:L528" si="37">SUM(G525:G527)</f>
        <v>8326.7000000000007</v>
      </c>
      <c r="H528" s="89">
        <f t="shared" si="37"/>
        <v>139215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182318.97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108511.65</v>
      </c>
      <c r="G530" s="18">
        <v>55180.22</v>
      </c>
      <c r="H530" s="18">
        <v>0</v>
      </c>
      <c r="I530" s="18">
        <v>0</v>
      </c>
      <c r="J530" s="18">
        <v>0</v>
      </c>
      <c r="K530" s="18">
        <v>0</v>
      </c>
      <c r="L530" s="88">
        <f>SUM(F530:K530)</f>
        <v>163691.87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0</v>
      </c>
      <c r="G531" s="18">
        <v>0</v>
      </c>
      <c r="H531" s="18">
        <v>0</v>
      </c>
      <c r="I531" s="18">
        <v>0</v>
      </c>
      <c r="J531" s="18">
        <v>0</v>
      </c>
      <c r="K531" s="18">
        <v>0</v>
      </c>
      <c r="L531" s="88">
        <f>SUM(F531:K531)</f>
        <v>0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0</v>
      </c>
      <c r="G532" s="18">
        <v>0</v>
      </c>
      <c r="H532" s="18">
        <v>0</v>
      </c>
      <c r="I532" s="18">
        <v>0</v>
      </c>
      <c r="J532" s="18">
        <v>0</v>
      </c>
      <c r="K532" s="18">
        <v>0</v>
      </c>
      <c r="L532" s="88">
        <f>SUM(F532:K532)</f>
        <v>0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108511.65</v>
      </c>
      <c r="G533" s="89">
        <f t="shared" ref="G533:L533" si="38">SUM(G530:G532)</f>
        <v>55180.22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163691.87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>
        <v>0</v>
      </c>
      <c r="G540" s="18">
        <v>0</v>
      </c>
      <c r="H540" s="18">
        <v>86994.94</v>
      </c>
      <c r="I540" s="18">
        <v>0</v>
      </c>
      <c r="J540" s="18">
        <v>0</v>
      </c>
      <c r="K540" s="18">
        <v>0</v>
      </c>
      <c r="L540" s="88">
        <f>SUM(F540:K540)</f>
        <v>86994.94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>
        <v>0</v>
      </c>
      <c r="G541" s="18">
        <v>0</v>
      </c>
      <c r="H541" s="18">
        <v>0</v>
      </c>
      <c r="I541" s="18">
        <v>0</v>
      </c>
      <c r="J541" s="18">
        <v>0</v>
      </c>
      <c r="K541" s="18">
        <v>0</v>
      </c>
      <c r="L541" s="88">
        <f>SUM(F541:K541)</f>
        <v>0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>
        <v>0</v>
      </c>
      <c r="G542" s="18">
        <v>0</v>
      </c>
      <c r="H542" s="18">
        <v>65619.78</v>
      </c>
      <c r="I542" s="18">
        <v>0</v>
      </c>
      <c r="J542" s="18">
        <v>0</v>
      </c>
      <c r="K542" s="18">
        <v>0</v>
      </c>
      <c r="L542" s="88">
        <f>SUM(F542:K542)</f>
        <v>65619.78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152614.72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152614.72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969700.69000000006</v>
      </c>
      <c r="G544" s="89">
        <f t="shared" ref="G544:L544" si="41">G523+G528+G533+G538+G543</f>
        <v>426887.6</v>
      </c>
      <c r="H544" s="89">
        <f t="shared" si="41"/>
        <v>574231.37</v>
      </c>
      <c r="I544" s="89">
        <f t="shared" si="41"/>
        <v>14984.67</v>
      </c>
      <c r="J544" s="89">
        <f t="shared" si="41"/>
        <v>26972.31</v>
      </c>
      <c r="K544" s="89">
        <f t="shared" si="41"/>
        <v>995.56</v>
      </c>
      <c r="L544" s="89">
        <f t="shared" si="41"/>
        <v>2013772.2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1232581.9700000002</v>
      </c>
      <c r="G548" s="87">
        <f>L525</f>
        <v>182318.97</v>
      </c>
      <c r="H548" s="87">
        <f>L530</f>
        <v>163691.87</v>
      </c>
      <c r="I548" s="87">
        <f>L535</f>
        <v>0</v>
      </c>
      <c r="J548" s="87">
        <f>L540</f>
        <v>86994.94</v>
      </c>
      <c r="K548" s="87">
        <f>SUM(F548:J548)</f>
        <v>1665587.75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282564.67000000004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65619.78</v>
      </c>
      <c r="K550" s="87">
        <f>SUM(F550:J550)</f>
        <v>348184.45000000007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1515146.6400000001</v>
      </c>
      <c r="G551" s="89">
        <f t="shared" si="42"/>
        <v>182318.97</v>
      </c>
      <c r="H551" s="89">
        <f t="shared" si="42"/>
        <v>163691.87</v>
      </c>
      <c r="I551" s="89">
        <f t="shared" si="42"/>
        <v>0</v>
      </c>
      <c r="J551" s="89">
        <f t="shared" si="42"/>
        <v>152614.72</v>
      </c>
      <c r="K551" s="89">
        <f t="shared" si="42"/>
        <v>2013772.2000000002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>
        <v>0</v>
      </c>
      <c r="G556" s="18">
        <v>0</v>
      </c>
      <c r="H556" s="18">
        <v>0</v>
      </c>
      <c r="I556" s="18">
        <v>0</v>
      </c>
      <c r="J556" s="18">
        <v>0</v>
      </c>
      <c r="K556" s="18">
        <v>0</v>
      </c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>
        <v>0</v>
      </c>
      <c r="G557" s="18">
        <v>0</v>
      </c>
      <c r="H557" s="18">
        <v>0</v>
      </c>
      <c r="I557" s="18">
        <v>0</v>
      </c>
      <c r="J557" s="18">
        <v>0</v>
      </c>
      <c r="K557" s="18">
        <v>0</v>
      </c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>
        <v>0</v>
      </c>
      <c r="G558" s="18">
        <v>0</v>
      </c>
      <c r="H558" s="18">
        <v>0</v>
      </c>
      <c r="I558" s="18">
        <v>0</v>
      </c>
      <c r="J558" s="18">
        <v>0</v>
      </c>
      <c r="K558" s="18">
        <v>0</v>
      </c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0</v>
      </c>
      <c r="G561" s="18">
        <v>0</v>
      </c>
      <c r="H561" s="18">
        <v>0</v>
      </c>
      <c r="I561" s="18">
        <v>0</v>
      </c>
      <c r="J561" s="18">
        <v>0</v>
      </c>
      <c r="K561" s="18">
        <v>0</v>
      </c>
      <c r="L561" s="88">
        <f>SUM(F561:K561)</f>
        <v>0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v>0</v>
      </c>
      <c r="G562" s="18">
        <v>0</v>
      </c>
      <c r="H562" s="18">
        <v>0</v>
      </c>
      <c r="I562" s="18">
        <v>0</v>
      </c>
      <c r="J562" s="18">
        <v>0</v>
      </c>
      <c r="K562" s="18">
        <v>0</v>
      </c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v>0</v>
      </c>
      <c r="G563" s="18">
        <v>0</v>
      </c>
      <c r="H563" s="18">
        <v>0</v>
      </c>
      <c r="I563" s="18">
        <v>0</v>
      </c>
      <c r="J563" s="18">
        <v>0</v>
      </c>
      <c r="K563" s="18">
        <v>0</v>
      </c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>
        <v>67483.67</v>
      </c>
      <c r="G566" s="18">
        <v>28417.87</v>
      </c>
      <c r="H566" s="18">
        <v>1211.68</v>
      </c>
      <c r="I566" s="18">
        <v>2144.42</v>
      </c>
      <c r="J566" s="18">
        <v>0</v>
      </c>
      <c r="K566" s="18">
        <v>1091.5</v>
      </c>
      <c r="L566" s="88">
        <f>SUM(F566:K566)</f>
        <v>100349.13999999998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>
        <v>0</v>
      </c>
      <c r="G567" s="18">
        <v>0</v>
      </c>
      <c r="H567" s="18">
        <v>0</v>
      </c>
      <c r="I567" s="18">
        <v>0</v>
      </c>
      <c r="J567" s="18">
        <v>0</v>
      </c>
      <c r="K567" s="18">
        <v>0</v>
      </c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>
        <v>0</v>
      </c>
      <c r="G568" s="18">
        <v>0</v>
      </c>
      <c r="H568" s="18">
        <v>0</v>
      </c>
      <c r="I568" s="18">
        <v>0</v>
      </c>
      <c r="J568" s="18">
        <v>0</v>
      </c>
      <c r="K568" s="18">
        <v>0</v>
      </c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67483.67</v>
      </c>
      <c r="G569" s="194">
        <f t="shared" ref="G569:L569" si="45">SUM(G566:G568)</f>
        <v>28417.87</v>
      </c>
      <c r="H569" s="194">
        <f t="shared" si="45"/>
        <v>1211.68</v>
      </c>
      <c r="I569" s="194">
        <f t="shared" si="45"/>
        <v>2144.42</v>
      </c>
      <c r="J569" s="194">
        <f t="shared" si="45"/>
        <v>0</v>
      </c>
      <c r="K569" s="194">
        <f t="shared" si="45"/>
        <v>1091.5</v>
      </c>
      <c r="L569" s="194">
        <f t="shared" si="45"/>
        <v>100349.13999999998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67483.67</v>
      </c>
      <c r="G570" s="89">
        <f t="shared" ref="G570:L570" si="46">G559+G564+G569</f>
        <v>28417.87</v>
      </c>
      <c r="H570" s="89">
        <f t="shared" si="46"/>
        <v>1211.68</v>
      </c>
      <c r="I570" s="89">
        <f t="shared" si="46"/>
        <v>2144.42</v>
      </c>
      <c r="J570" s="89">
        <f t="shared" si="46"/>
        <v>0</v>
      </c>
      <c r="K570" s="89">
        <f t="shared" si="46"/>
        <v>1091.5</v>
      </c>
      <c r="L570" s="89">
        <f t="shared" si="46"/>
        <v>100349.13999999998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v>0</v>
      </c>
      <c r="G574" s="18">
        <v>0</v>
      </c>
      <c r="H574" s="18">
        <v>0</v>
      </c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>
        <v>0</v>
      </c>
      <c r="G575" s="18">
        <v>0</v>
      </c>
      <c r="H575" s="18">
        <v>0</v>
      </c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>
        <v>3319773.67</v>
      </c>
      <c r="I576" s="87">
        <f t="shared" si="47"/>
        <v>3319773.67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>
        <v>0</v>
      </c>
      <c r="G577" s="18">
        <v>0</v>
      </c>
      <c r="H577" s="18">
        <v>0</v>
      </c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0</v>
      </c>
      <c r="G578" s="18">
        <v>0</v>
      </c>
      <c r="H578" s="18">
        <v>0</v>
      </c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>
        <v>0</v>
      </c>
      <c r="G579" s="18">
        <v>0</v>
      </c>
      <c r="H579" s="18">
        <v>0</v>
      </c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>
        <v>0</v>
      </c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10906.7</v>
      </c>
      <c r="G581" s="18">
        <v>0</v>
      </c>
      <c r="H581" s="18">
        <v>160514.07</v>
      </c>
      <c r="I581" s="87">
        <f t="shared" si="47"/>
        <v>171420.77000000002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>
        <v>0</v>
      </c>
      <c r="G582" s="18">
        <v>0</v>
      </c>
      <c r="H582" s="18">
        <v>0</v>
      </c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>
        <v>0</v>
      </c>
      <c r="G583" s="18">
        <v>0</v>
      </c>
      <c r="H583" s="18">
        <v>0</v>
      </c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>
        <v>0</v>
      </c>
      <c r="G584" s="18">
        <v>0</v>
      </c>
      <c r="H584" s="18">
        <v>0</v>
      </c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>
        <v>0</v>
      </c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>
        <v>0</v>
      </c>
      <c r="G586" s="18">
        <v>0</v>
      </c>
      <c r="H586" s="18">
        <v>0</v>
      </c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225487.33</v>
      </c>
      <c r="I590" s="18">
        <v>0</v>
      </c>
      <c r="J590" s="18">
        <v>99083.7</v>
      </c>
      <c r="K590" s="104">
        <f t="shared" ref="K590:K596" si="48">SUM(H590:J590)</f>
        <v>324571.02999999997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86994.94</v>
      </c>
      <c r="I591" s="18">
        <v>0</v>
      </c>
      <c r="J591" s="18">
        <v>65619.78</v>
      </c>
      <c r="K591" s="104">
        <f t="shared" si="48"/>
        <v>152614.72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>
        <v>0</v>
      </c>
      <c r="I592" s="18">
        <v>0</v>
      </c>
      <c r="J592" s="18">
        <v>0</v>
      </c>
      <c r="K592" s="104">
        <f t="shared" si="48"/>
        <v>0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10664.59</v>
      </c>
      <c r="I593" s="18">
        <v>0</v>
      </c>
      <c r="J593" s="18">
        <v>0</v>
      </c>
      <c r="K593" s="104">
        <f t="shared" si="48"/>
        <v>10664.59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10198.870000000001</v>
      </c>
      <c r="I594" s="18">
        <v>0</v>
      </c>
      <c r="J594" s="18">
        <v>0</v>
      </c>
      <c r="K594" s="104">
        <f t="shared" si="48"/>
        <v>10198.870000000001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>
        <v>0</v>
      </c>
      <c r="I595" s="18">
        <v>0</v>
      </c>
      <c r="J595" s="18">
        <v>0</v>
      </c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>
        <v>0</v>
      </c>
      <c r="I596" s="18">
        <v>0</v>
      </c>
      <c r="J596" s="18">
        <v>0</v>
      </c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333345.73000000004</v>
      </c>
      <c r="I597" s="108">
        <f>SUM(I590:I596)</f>
        <v>0</v>
      </c>
      <c r="J597" s="108">
        <f>SUM(J590:J596)</f>
        <v>164703.47999999998</v>
      </c>
      <c r="K597" s="108">
        <f>SUM(K590:K596)</f>
        <v>498049.21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>
        <v>0</v>
      </c>
      <c r="I601" s="18">
        <v>0</v>
      </c>
      <c r="J601" s="18">
        <v>0</v>
      </c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>
        <v>0</v>
      </c>
      <c r="I602" s="18">
        <v>0</v>
      </c>
      <c r="J602" s="18">
        <v>0</v>
      </c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146167.64000000001</v>
      </c>
      <c r="I603" s="18">
        <v>0</v>
      </c>
      <c r="J603" s="18">
        <v>0</v>
      </c>
      <c r="K603" s="104">
        <f>SUM(H603:J603)</f>
        <v>146167.64000000001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146167.64000000001</v>
      </c>
      <c r="I604" s="108">
        <f>SUM(I601:I603)</f>
        <v>0</v>
      </c>
      <c r="J604" s="108">
        <f>SUM(J601:J603)</f>
        <v>0</v>
      </c>
      <c r="K604" s="108">
        <f>SUM(K601:K603)</f>
        <v>146167.64000000001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13126.44</v>
      </c>
      <c r="G610" s="18">
        <v>2231.4299999999998</v>
      </c>
      <c r="H610" s="18">
        <v>0</v>
      </c>
      <c r="I610" s="18">
        <v>197</v>
      </c>
      <c r="J610" s="18">
        <v>0</v>
      </c>
      <c r="K610" s="18">
        <v>0</v>
      </c>
      <c r="L610" s="88">
        <f>SUM(F610:K610)</f>
        <v>15554.87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0</v>
      </c>
      <c r="G611" s="18">
        <v>0</v>
      </c>
      <c r="H611" s="18">
        <v>0</v>
      </c>
      <c r="I611" s="18">
        <v>0</v>
      </c>
      <c r="J611" s="18">
        <v>0</v>
      </c>
      <c r="K611" s="18">
        <v>0</v>
      </c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0</v>
      </c>
      <c r="G612" s="18">
        <v>0</v>
      </c>
      <c r="H612" s="18">
        <v>0</v>
      </c>
      <c r="I612" s="18">
        <v>0</v>
      </c>
      <c r="J612" s="18">
        <v>0</v>
      </c>
      <c r="K612" s="18">
        <v>0</v>
      </c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13126.44</v>
      </c>
      <c r="G613" s="108">
        <f t="shared" si="49"/>
        <v>2231.4299999999998</v>
      </c>
      <c r="H613" s="108">
        <f t="shared" si="49"/>
        <v>0</v>
      </c>
      <c r="I613" s="108">
        <f t="shared" si="49"/>
        <v>197</v>
      </c>
      <c r="J613" s="108">
        <f t="shared" si="49"/>
        <v>0</v>
      </c>
      <c r="K613" s="108">
        <f t="shared" si="49"/>
        <v>0</v>
      </c>
      <c r="L613" s="89">
        <f t="shared" si="49"/>
        <v>15554.87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1010823.52</v>
      </c>
      <c r="H616" s="109">
        <f>SUM(F51)</f>
        <v>1010823.52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40741.93</v>
      </c>
      <c r="H617" s="109">
        <f>SUM(G51)</f>
        <v>40741.93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119278.17</v>
      </c>
      <c r="H618" s="109">
        <f>SUM(H51)</f>
        <v>119278.17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195134.19</v>
      </c>
      <c r="H619" s="109">
        <f>SUM(I51)</f>
        <v>195134.19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1237710.83</v>
      </c>
      <c r="H620" s="109">
        <f>SUM(J51)</f>
        <v>1237710.83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580772.77</v>
      </c>
      <c r="H621" s="109">
        <f>F475</f>
        <v>580772.76999999955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52769.45</v>
      </c>
      <c r="H624" s="109">
        <f>I475</f>
        <v>52769.45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1237710.83</v>
      </c>
      <c r="H625" s="109">
        <f>J475</f>
        <v>1237710.83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12353173.260000002</v>
      </c>
      <c r="H626" s="104">
        <f>SUM(F467)</f>
        <v>12353173.26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224973.31999999998</v>
      </c>
      <c r="H627" s="104">
        <f>SUM(G467)</f>
        <v>224973.32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390045.94</v>
      </c>
      <c r="H628" s="104">
        <f>SUM(H467)</f>
        <v>390045.94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259.36</v>
      </c>
      <c r="H629" s="104">
        <f>SUM(I467)</f>
        <v>259.36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386722.93</v>
      </c>
      <c r="H630" s="104">
        <f>SUM(J467)</f>
        <v>386722.93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12408178.460000001</v>
      </c>
      <c r="H631" s="104">
        <f>SUM(F471)</f>
        <v>12408178.460000001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390045.94000000006</v>
      </c>
      <c r="H632" s="104">
        <f>SUM(H471)</f>
        <v>390045.94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98083.04</v>
      </c>
      <c r="H633" s="104">
        <f>I368</f>
        <v>98083.04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236076.88</v>
      </c>
      <c r="H634" s="104">
        <f>SUM(G471)</f>
        <v>236076.88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386722.93</v>
      </c>
      <c r="H636" s="164">
        <f>SUM(J467)</f>
        <v>386722.93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32642.27</v>
      </c>
      <c r="H637" s="164">
        <f>SUM(J471)</f>
        <v>32642.27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306251.31</v>
      </c>
      <c r="H638" s="104">
        <f>SUM(F460)</f>
        <v>306251.31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931459.52</v>
      </c>
      <c r="H639" s="104">
        <f>SUM(G460)</f>
        <v>931459.52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1237710.83</v>
      </c>
      <c r="H641" s="104">
        <f>SUM(I460)</f>
        <v>1237710.83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1722.93</v>
      </c>
      <c r="H643" s="104">
        <f>H407</f>
        <v>1722.93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385000</v>
      </c>
      <c r="H644" s="104">
        <f>G407</f>
        <v>385000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386722.93</v>
      </c>
      <c r="H645" s="104">
        <f>L407</f>
        <v>386722.93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498049.21</v>
      </c>
      <c r="H646" s="104">
        <f>L207+L225+L243</f>
        <v>498049.20999999996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146167.64000000001</v>
      </c>
      <c r="H647" s="104">
        <f>(J256+J337)-(J254+J335)</f>
        <v>146167.63999999998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333345.73</v>
      </c>
      <c r="H648" s="104">
        <f>H597</f>
        <v>333345.73000000004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164703.48000000001</v>
      </c>
      <c r="H650" s="104">
        <f>J597</f>
        <v>164703.47999999998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3569.37</v>
      </c>
      <c r="H651" s="104">
        <f>K262+K344</f>
        <v>3569.37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385000</v>
      </c>
      <c r="H654" s="104">
        <f>K265+K346</f>
        <v>385000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7839190.0200000014</v>
      </c>
      <c r="G659" s="19">
        <f>(L228+L308+L358)</f>
        <v>0</v>
      </c>
      <c r="H659" s="19">
        <f>(L246+L327+L359)</f>
        <v>3767227.51</v>
      </c>
      <c r="I659" s="19">
        <f>SUM(F659:H659)</f>
        <v>11606417.530000001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118397.12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118397.12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333345.73</v>
      </c>
      <c r="G661" s="19">
        <f>(L225+L305)-(J225+J305)</f>
        <v>0</v>
      </c>
      <c r="H661" s="19">
        <f>(L243+L324)-(J243+J324)</f>
        <v>164703.48000000001</v>
      </c>
      <c r="I661" s="19">
        <f>SUM(F661:H661)</f>
        <v>498049.20999999996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172629.21000000002</v>
      </c>
      <c r="G662" s="200">
        <f>SUM(G574:G586)+SUM(I601:I603)+L611</f>
        <v>0</v>
      </c>
      <c r="H662" s="200">
        <f>SUM(H574:H586)+SUM(J601:J603)+L612</f>
        <v>3480287.7399999998</v>
      </c>
      <c r="I662" s="19">
        <f>SUM(F662:H662)</f>
        <v>3652916.9499999997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7214817.9600000009</v>
      </c>
      <c r="G663" s="19">
        <f>G659-SUM(G660:G662)</f>
        <v>0</v>
      </c>
      <c r="H663" s="19">
        <f>H659-SUM(H660:H662)</f>
        <v>122236.29000000004</v>
      </c>
      <c r="I663" s="19">
        <f>I659-SUM(I660:I662)</f>
        <v>7337054.2500000019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506.17</v>
      </c>
      <c r="G664" s="249"/>
      <c r="H664" s="249"/>
      <c r="I664" s="19">
        <f>SUM(F664:H664)</f>
        <v>506.17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14253.74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14495.24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>
        <v>-122236.29</v>
      </c>
      <c r="I668" s="19">
        <f>SUM(F668:H668)</f>
        <v>-122236.29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14253.74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14253.74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11" sqref="C11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Alton School District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2273140.58</v>
      </c>
      <c r="C9" s="230">
        <f>'DOE25'!G196+'DOE25'!G214+'DOE25'!G232+'DOE25'!G275+'DOE25'!G294+'DOE25'!G313</f>
        <v>942347.13</v>
      </c>
    </row>
    <row r="10" spans="1:3">
      <c r="A10" t="s">
        <v>779</v>
      </c>
      <c r="B10" s="241">
        <v>1884094.13</v>
      </c>
      <c r="C10" s="241">
        <v>778399.55</v>
      </c>
    </row>
    <row r="11" spans="1:3">
      <c r="A11" t="s">
        <v>780</v>
      </c>
      <c r="B11" s="241">
        <v>115945.28</v>
      </c>
      <c r="C11" s="241">
        <v>74947.47</v>
      </c>
    </row>
    <row r="12" spans="1:3">
      <c r="A12" t="s">
        <v>781</v>
      </c>
      <c r="B12" s="241">
        <v>273101.17</v>
      </c>
      <c r="C12" s="241">
        <v>89000.11</v>
      </c>
    </row>
    <row r="13" spans="1:3">
      <c r="A13" t="str">
        <f>IF(B9=B13,IF(C9=C13,"Check Total OK","Check Total Error"),"Check Total Error")</f>
        <v>Check Total OK</v>
      </c>
      <c r="B13" s="232">
        <f>SUM(B10:B12)</f>
        <v>2273140.58</v>
      </c>
      <c r="C13" s="232">
        <f>SUM(C10:C12)</f>
        <v>942347.13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1002407.09</v>
      </c>
      <c r="C18" s="230">
        <f>'DOE25'!G197+'DOE25'!G215+'DOE25'!G233+'DOE25'!G276+'DOE25'!G295+'DOE25'!G314</f>
        <v>446978.77</v>
      </c>
    </row>
    <row r="19" spans="1:3">
      <c r="A19" t="s">
        <v>779</v>
      </c>
      <c r="B19" s="241">
        <v>524057.06</v>
      </c>
      <c r="C19" s="241">
        <v>232428</v>
      </c>
    </row>
    <row r="20" spans="1:3">
      <c r="A20" t="s">
        <v>780</v>
      </c>
      <c r="B20" s="241">
        <v>457005.15</v>
      </c>
      <c r="C20" s="241">
        <v>205610</v>
      </c>
    </row>
    <row r="21" spans="1:3">
      <c r="A21" t="s">
        <v>781</v>
      </c>
      <c r="B21" s="241">
        <v>21344.880000000001</v>
      </c>
      <c r="C21" s="241">
        <v>8940.77</v>
      </c>
    </row>
    <row r="22" spans="1:3">
      <c r="A22" t="str">
        <f>IF(B18=B22,IF(C18=C22,"Check Total OK","Check Total Error"),"Check Total Error")</f>
        <v>Check Total OK</v>
      </c>
      <c r="B22" s="232">
        <f>SUM(B19:B21)</f>
        <v>1002407.09</v>
      </c>
      <c r="C22" s="232">
        <f>SUM(C19:C21)</f>
        <v>446978.77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43389.780000000006</v>
      </c>
      <c r="C36" s="236">
        <f>'DOE25'!G199+'DOE25'!G217+'DOE25'!G235+'DOE25'!G278+'DOE25'!G297+'DOE25'!G316</f>
        <v>5955.14</v>
      </c>
    </row>
    <row r="37" spans="1:3">
      <c r="A37" t="s">
        <v>779</v>
      </c>
      <c r="B37" s="241">
        <v>8683.06</v>
      </c>
      <c r="C37" s="241">
        <v>1192.1400000000001</v>
      </c>
    </row>
    <row r="38" spans="1:3">
      <c r="A38" t="s">
        <v>780</v>
      </c>
      <c r="B38" s="241">
        <v>4443.38</v>
      </c>
      <c r="C38" s="241">
        <v>595</v>
      </c>
    </row>
    <row r="39" spans="1:3">
      <c r="A39" t="s">
        <v>781</v>
      </c>
      <c r="B39" s="241">
        <v>30263.34</v>
      </c>
      <c r="C39" s="241">
        <v>4168</v>
      </c>
    </row>
    <row r="40" spans="1:3">
      <c r="A40" t="str">
        <f>IF(B36=B40,IF(C36=C40,"Check Total OK","Check Total Error"),"Check Total Error")</f>
        <v>Check Total OK</v>
      </c>
      <c r="B40" s="232">
        <f>SUM(B37:B39)</f>
        <v>43389.78</v>
      </c>
      <c r="C40" s="232">
        <f>SUM(C37:C39)</f>
        <v>5955.14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20" activePane="bottomLeft" state="frozen"/>
      <selection pane="bottomLeft" activeCell="D12" sqref="D12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Alton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8430609</v>
      </c>
      <c r="D5" s="20">
        <f>SUM('DOE25'!L196:L199)+SUM('DOE25'!L214:L217)+SUM('DOE25'!L232:L235)-F5-G5</f>
        <v>8357452.290000001</v>
      </c>
      <c r="E5" s="244"/>
      <c r="F5" s="256">
        <f>SUM('DOE25'!J196:J199)+SUM('DOE25'!J214:J217)+SUM('DOE25'!J232:J235)</f>
        <v>32364.19</v>
      </c>
      <c r="G5" s="53">
        <f>SUM('DOE25'!K196:K199)+SUM('DOE25'!K214:K217)+SUM('DOE25'!K232:K235)</f>
        <v>40792.519999999997</v>
      </c>
      <c r="H5" s="260"/>
    </row>
    <row r="6" spans="1:9">
      <c r="A6" s="32">
        <v>2100</v>
      </c>
      <c r="B6" t="s">
        <v>801</v>
      </c>
      <c r="C6" s="246">
        <f t="shared" si="0"/>
        <v>409726.83</v>
      </c>
      <c r="D6" s="20">
        <f>'DOE25'!L201+'DOE25'!L219+'DOE25'!L237-F6-G6</f>
        <v>409644.83</v>
      </c>
      <c r="E6" s="244"/>
      <c r="F6" s="256">
        <f>'DOE25'!J201+'DOE25'!J219+'DOE25'!J237</f>
        <v>0</v>
      </c>
      <c r="G6" s="53">
        <f>'DOE25'!K201+'DOE25'!K219+'DOE25'!K237</f>
        <v>82</v>
      </c>
      <c r="H6" s="260"/>
    </row>
    <row r="7" spans="1:9">
      <c r="A7" s="32">
        <v>2200</v>
      </c>
      <c r="B7" t="s">
        <v>834</v>
      </c>
      <c r="C7" s="246">
        <f t="shared" si="0"/>
        <v>167011.58000000002</v>
      </c>
      <c r="D7" s="20">
        <f>'DOE25'!L202+'DOE25'!L220+'DOE25'!L238-F7-G7</f>
        <v>161985.58000000002</v>
      </c>
      <c r="E7" s="244"/>
      <c r="F7" s="256">
        <f>'DOE25'!J202+'DOE25'!J220+'DOE25'!J238</f>
        <v>0</v>
      </c>
      <c r="G7" s="53">
        <f>'DOE25'!K202+'DOE25'!K220+'DOE25'!K238</f>
        <v>5026</v>
      </c>
      <c r="H7" s="260"/>
    </row>
    <row r="8" spans="1:9">
      <c r="A8" s="32">
        <v>2300</v>
      </c>
      <c r="B8" t="s">
        <v>802</v>
      </c>
      <c r="C8" s="246">
        <f t="shared" si="0"/>
        <v>36990.330000000024</v>
      </c>
      <c r="D8" s="244"/>
      <c r="E8" s="20">
        <f>'DOE25'!L203+'DOE25'!L221+'DOE25'!L239-F8-G8-D9-D11</f>
        <v>25258.150000000023</v>
      </c>
      <c r="F8" s="256">
        <f>'DOE25'!J203+'DOE25'!J221+'DOE25'!J239</f>
        <v>6974.87</v>
      </c>
      <c r="G8" s="53">
        <f>'DOE25'!K203+'DOE25'!K221+'DOE25'!K239</f>
        <v>4757.3100000000004</v>
      </c>
      <c r="H8" s="260"/>
    </row>
    <row r="9" spans="1:9">
      <c r="A9" s="32">
        <v>2310</v>
      </c>
      <c r="B9" t="s">
        <v>818</v>
      </c>
      <c r="C9" s="246">
        <f t="shared" si="0"/>
        <v>60912.2</v>
      </c>
      <c r="D9" s="245">
        <v>60912.2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12494.5</v>
      </c>
      <c r="D10" s="244"/>
      <c r="E10" s="245">
        <v>12494.5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151205.75</v>
      </c>
      <c r="D11" s="245">
        <v>151205.75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331432.89999999997</v>
      </c>
      <c r="D12" s="20">
        <f>'DOE25'!L204+'DOE25'!L222+'DOE25'!L240-F12-G12</f>
        <v>330263.78999999998</v>
      </c>
      <c r="E12" s="244"/>
      <c r="F12" s="256">
        <f>'DOE25'!J204+'DOE25'!J222+'DOE25'!J240</f>
        <v>125.11</v>
      </c>
      <c r="G12" s="53">
        <f>'DOE25'!K204+'DOE25'!K222+'DOE25'!K240</f>
        <v>1044</v>
      </c>
      <c r="H12" s="260"/>
    </row>
    <row r="13" spans="1:9">
      <c r="A13" s="32">
        <v>2500</v>
      </c>
      <c r="B13" t="s">
        <v>803</v>
      </c>
      <c r="C13" s="246">
        <f t="shared" si="0"/>
        <v>113986.39</v>
      </c>
      <c r="D13" s="244"/>
      <c r="E13" s="20">
        <f>'DOE25'!L205+'DOE25'!L223+'DOE25'!L241-F13-G13</f>
        <v>102408.19</v>
      </c>
      <c r="F13" s="256">
        <f>'DOE25'!J205+'DOE25'!J223+'DOE25'!J241</f>
        <v>0</v>
      </c>
      <c r="G13" s="53">
        <f>'DOE25'!K205+'DOE25'!K223+'DOE25'!K241</f>
        <v>11578.2</v>
      </c>
      <c r="H13" s="260"/>
    </row>
    <row r="14" spans="1:9">
      <c r="A14" s="32">
        <v>2600</v>
      </c>
      <c r="B14" t="s">
        <v>832</v>
      </c>
      <c r="C14" s="246">
        <f t="shared" si="0"/>
        <v>780370.52</v>
      </c>
      <c r="D14" s="20">
        <f>'DOE25'!L206+'DOE25'!L224+'DOE25'!L242-F14-G14</f>
        <v>726930.15</v>
      </c>
      <c r="E14" s="244"/>
      <c r="F14" s="256">
        <f>'DOE25'!J206+'DOE25'!J224+'DOE25'!J242</f>
        <v>50128.97</v>
      </c>
      <c r="G14" s="53">
        <f>'DOE25'!K206+'DOE25'!K224+'DOE25'!K242</f>
        <v>3311.4</v>
      </c>
      <c r="H14" s="260"/>
    </row>
    <row r="15" spans="1:9">
      <c r="A15" s="32">
        <v>2700</v>
      </c>
      <c r="B15" t="s">
        <v>804</v>
      </c>
      <c r="C15" s="246">
        <f t="shared" si="0"/>
        <v>498049.20999999996</v>
      </c>
      <c r="D15" s="20">
        <f>'DOE25'!L207+'DOE25'!L225+'DOE25'!L243-F15-G15</f>
        <v>498049.20999999996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5535.54</v>
      </c>
      <c r="D22" s="244"/>
      <c r="E22" s="244"/>
      <c r="F22" s="256">
        <f>'DOE25'!L254+'DOE25'!L335</f>
        <v>5535.54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1033778.84</v>
      </c>
      <c r="D25" s="244"/>
      <c r="E25" s="244"/>
      <c r="F25" s="259"/>
      <c r="G25" s="257"/>
      <c r="H25" s="258">
        <f>'DOE25'!L259+'DOE25'!L260+'DOE25'!L340+'DOE25'!L341</f>
        <v>1033778.84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145801.49</v>
      </c>
      <c r="D29" s="20">
        <f>'DOE25'!L357+'DOE25'!L358+'DOE25'!L359-'DOE25'!I366-F29-G29</f>
        <v>144820.41999999998</v>
      </c>
      <c r="E29" s="244"/>
      <c r="F29" s="256">
        <f>'DOE25'!J357+'DOE25'!J358+'DOE25'!J359</f>
        <v>0</v>
      </c>
      <c r="G29" s="53">
        <f>'DOE25'!K357+'DOE25'!K358+'DOE25'!K359</f>
        <v>981.07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390045.94000000006</v>
      </c>
      <c r="D31" s="20">
        <f>'DOE25'!L289+'DOE25'!L308+'DOE25'!L327+'DOE25'!L332+'DOE25'!L333+'DOE25'!L334-F31-G31</f>
        <v>333471.44000000006</v>
      </c>
      <c r="E31" s="244"/>
      <c r="F31" s="256">
        <f>'DOE25'!J289+'DOE25'!J308+'DOE25'!J327+'DOE25'!J332+'DOE25'!J333+'DOE25'!J334</f>
        <v>56574.5</v>
      </c>
      <c r="G31" s="53">
        <f>'DOE25'!K289+'DOE25'!K308+'DOE25'!K327+'DOE25'!K332+'DOE25'!K333+'DOE25'!K334</f>
        <v>0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11174735.66</v>
      </c>
      <c r="E33" s="247">
        <f>SUM(E5:E31)</f>
        <v>140160.84000000003</v>
      </c>
      <c r="F33" s="247">
        <f>SUM(F5:F31)</f>
        <v>151703.18</v>
      </c>
      <c r="G33" s="247">
        <f>SUM(G5:G31)</f>
        <v>67572.5</v>
      </c>
      <c r="H33" s="247">
        <f>SUM(H5:H31)</f>
        <v>1033778.84</v>
      </c>
    </row>
    <row r="35" spans="2:8" ht="12" thickBot="1">
      <c r="B35" s="254" t="s">
        <v>847</v>
      </c>
      <c r="D35" s="255">
        <f>E33</f>
        <v>140160.84000000003</v>
      </c>
      <c r="E35" s="250"/>
    </row>
    <row r="36" spans="2:8" ht="12" thickTop="1">
      <c r="B36" t="s">
        <v>815</v>
      </c>
      <c r="D36" s="20">
        <f>D33</f>
        <v>11174735.66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9" activePane="bottomLeft" state="frozen"/>
      <selection pane="bottomLeft" activeCell="C47" sqref="C47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Alton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692916.97</v>
      </c>
      <c r="D8" s="95">
        <f>'DOE25'!G9</f>
        <v>112</v>
      </c>
      <c r="E8" s="95">
        <f>'DOE25'!H9</f>
        <v>0</v>
      </c>
      <c r="F8" s="95">
        <f>'DOE25'!I9</f>
        <v>195134.19</v>
      </c>
      <c r="G8" s="95">
        <f>'DOE25'!J9</f>
        <v>1237710.83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30384.99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272795.15000000002</v>
      </c>
      <c r="D11" s="95">
        <f>'DOE25'!G12</f>
        <v>3569.37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9301.4</v>
      </c>
      <c r="D12" s="95">
        <f>'DOE25'!G13</f>
        <v>6675.57</v>
      </c>
      <c r="E12" s="95">
        <f>'DOE25'!H13</f>
        <v>119278.17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35810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1010823.52</v>
      </c>
      <c r="D18" s="41">
        <f>SUM(D8:D17)</f>
        <v>40741.93</v>
      </c>
      <c r="E18" s="41">
        <f>SUM(E8:E17)</f>
        <v>119278.17</v>
      </c>
      <c r="F18" s="41">
        <f>SUM(F8:F17)</f>
        <v>195134.19</v>
      </c>
      <c r="G18" s="41">
        <f>SUM(G8:G17)</f>
        <v>1237710.83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0</v>
      </c>
      <c r="D21" s="95">
        <f>'DOE25'!G22</f>
        <v>39003.72</v>
      </c>
      <c r="E21" s="95">
        <f>'DOE25'!H22</f>
        <v>94996.06</v>
      </c>
      <c r="F21" s="95">
        <f>'DOE25'!I22</f>
        <v>142364.74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119892.92</v>
      </c>
      <c r="D23" s="95">
        <f>'DOE25'!G24</f>
        <v>123.47</v>
      </c>
      <c r="E23" s="95">
        <f>'DOE25'!H24</f>
        <v>2275.5300000000002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310157.83</v>
      </c>
      <c r="D27" s="95">
        <f>'DOE25'!G28</f>
        <v>1614.74</v>
      </c>
      <c r="E27" s="95">
        <f>'DOE25'!H28</f>
        <v>21704.38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302.2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430050.75</v>
      </c>
      <c r="D31" s="41">
        <f>SUM(D21:D30)</f>
        <v>40741.93</v>
      </c>
      <c r="E31" s="41">
        <f>SUM(E21:E30)</f>
        <v>119278.17</v>
      </c>
      <c r="F31" s="41">
        <f>SUM(F21:F30)</f>
        <v>142364.74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35810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52769.45</v>
      </c>
      <c r="G46" s="95">
        <f>'DOE25'!J47</f>
        <v>1237710.83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106784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438178.77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580772.77</v>
      </c>
      <c r="D49" s="41">
        <f>SUM(D34:D48)</f>
        <v>0</v>
      </c>
      <c r="E49" s="41">
        <f>SUM(E34:E48)</f>
        <v>0</v>
      </c>
      <c r="F49" s="41">
        <f>SUM(F34:F48)</f>
        <v>52769.45</v>
      </c>
      <c r="G49" s="41">
        <f>SUM(G34:G48)</f>
        <v>1237710.83</v>
      </c>
      <c r="H49" s="124"/>
      <c r="I49" s="124"/>
    </row>
    <row r="50" spans="1:9" ht="12" thickTop="1">
      <c r="A50" s="38" t="s">
        <v>895</v>
      </c>
      <c r="B50" s="2"/>
      <c r="C50" s="41">
        <f>C49+C31</f>
        <v>1010823.52</v>
      </c>
      <c r="D50" s="41">
        <f>D49+D31</f>
        <v>40741.93</v>
      </c>
      <c r="E50" s="41">
        <f>E49+E31</f>
        <v>119278.17</v>
      </c>
      <c r="F50" s="41">
        <f>F49+F31</f>
        <v>195134.19</v>
      </c>
      <c r="G50" s="41">
        <f>G49+G31</f>
        <v>1237710.83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8053136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129.84</v>
      </c>
      <c r="D58" s="95">
        <f>'DOE25'!G95</f>
        <v>101.93</v>
      </c>
      <c r="E58" s="95">
        <f>'DOE25'!H95</f>
        <v>0</v>
      </c>
      <c r="F58" s="95">
        <f>'DOE25'!I95</f>
        <v>259.36</v>
      </c>
      <c r="G58" s="95">
        <f>'DOE25'!J95</f>
        <v>1722.93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118397.12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2995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3124.84</v>
      </c>
      <c r="D61" s="130">
        <f>SUM(D56:D60)</f>
        <v>118499.04999999999</v>
      </c>
      <c r="E61" s="130">
        <f>SUM(E56:E60)</f>
        <v>0</v>
      </c>
      <c r="F61" s="130">
        <f>SUM(F56:F60)</f>
        <v>259.36</v>
      </c>
      <c r="G61" s="130">
        <f>SUM(G56:G60)</f>
        <v>1722.93</v>
      </c>
      <c r="H61"/>
      <c r="I61"/>
    </row>
    <row r="62" spans="1:9" ht="12" thickTop="1">
      <c r="A62" s="29" t="s">
        <v>175</v>
      </c>
      <c r="B62" s="6"/>
      <c r="C62" s="22">
        <f>C55+C61</f>
        <v>8056260.8399999999</v>
      </c>
      <c r="D62" s="22">
        <f>D55+D61</f>
        <v>118499.04999999999</v>
      </c>
      <c r="E62" s="22">
        <f>E55+E61</f>
        <v>0</v>
      </c>
      <c r="F62" s="22">
        <f>F55+F61</f>
        <v>259.36</v>
      </c>
      <c r="G62" s="22">
        <f>G55+G61</f>
        <v>1722.93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0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3661577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0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3661577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454795.34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87849.600000000006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0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542644.94000000006</v>
      </c>
      <c r="D77" s="130">
        <f>SUM(D71:D76)</f>
        <v>0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4204221.9400000004</v>
      </c>
      <c r="D80" s="130">
        <f>SUM(D78:D79)+D77+D69</f>
        <v>0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0</v>
      </c>
      <c r="D84" s="95">
        <f>'DOE25'!G146</f>
        <v>15277.720000000001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92690.48</v>
      </c>
      <c r="D87" s="95">
        <f>SUM('DOE25'!G152:G160)</f>
        <v>87627.18</v>
      </c>
      <c r="E87" s="95">
        <f>SUM('DOE25'!H152:H160)</f>
        <v>390045.94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92690.48</v>
      </c>
      <c r="D90" s="131">
        <f>SUM(D84:D89)</f>
        <v>102904.9</v>
      </c>
      <c r="E90" s="131">
        <f>SUM(E84:E89)</f>
        <v>390045.94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3569.37</v>
      </c>
      <c r="E95" s="95">
        <f>'DOE25'!H178</f>
        <v>0</v>
      </c>
      <c r="F95" s="95">
        <f>'DOE25'!I178</f>
        <v>0</v>
      </c>
      <c r="G95" s="95">
        <f>'DOE25'!J178</f>
        <v>385000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0</v>
      </c>
      <c r="D102" s="86">
        <f>SUM(D92:D101)</f>
        <v>3569.37</v>
      </c>
      <c r="E102" s="86">
        <f>SUM(E92:E101)</f>
        <v>0</v>
      </c>
      <c r="F102" s="86">
        <f>SUM(F92:F101)</f>
        <v>0</v>
      </c>
      <c r="G102" s="86">
        <f>SUM(G92:G101)</f>
        <v>385000</v>
      </c>
    </row>
    <row r="103" spans="1:7" ht="12.75" thickTop="1" thickBot="1">
      <c r="A103" s="33" t="s">
        <v>765</v>
      </c>
      <c r="C103" s="86">
        <f>C62+C80+C90+C102</f>
        <v>12353173.260000002</v>
      </c>
      <c r="D103" s="86">
        <f>D62+D80+D90+D102</f>
        <v>224973.31999999998</v>
      </c>
      <c r="E103" s="86">
        <f>E62+E80+E90+E102</f>
        <v>390045.94</v>
      </c>
      <c r="F103" s="86">
        <f>F62+F80+F90+F102</f>
        <v>259.36</v>
      </c>
      <c r="G103" s="86">
        <f>G62+G80+G102</f>
        <v>386722.93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6653099.9800000004</v>
      </c>
      <c r="D108" s="24" t="s">
        <v>289</v>
      </c>
      <c r="E108" s="95">
        <f>('DOE25'!L275)+('DOE25'!L294)+('DOE25'!L313)</f>
        <v>217424.94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1707995.0500000003</v>
      </c>
      <c r="D109" s="24" t="s">
        <v>289</v>
      </c>
      <c r="E109" s="95">
        <f>('DOE25'!L276)+('DOE25'!L295)+('DOE25'!L314)</f>
        <v>71192.600000000006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69513.97</v>
      </c>
      <c r="D111" s="24" t="s">
        <v>289</v>
      </c>
      <c r="E111" s="95">
        <f>+('DOE25'!L278)+('DOE25'!L297)+('DOE25'!L316)</f>
        <v>3858.4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8430609.0000000019</v>
      </c>
      <c r="D114" s="86">
        <f>SUM(D108:D113)</f>
        <v>0</v>
      </c>
      <c r="E114" s="86">
        <f>SUM(E108:E113)</f>
        <v>292475.94000000006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409726.83</v>
      </c>
      <c r="D117" s="24" t="s">
        <v>289</v>
      </c>
      <c r="E117" s="95">
        <f>+('DOE25'!L280)+('DOE25'!L299)+('DOE25'!L318)</f>
        <v>76875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167011.58000000002</v>
      </c>
      <c r="D118" s="24" t="s">
        <v>289</v>
      </c>
      <c r="E118" s="95">
        <f>+('DOE25'!L281)+('DOE25'!L300)+('DOE25'!L319)</f>
        <v>20695.000000000004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249108.28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331432.89999999997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113986.39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780370.52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498049.20999999996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236076.88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2549685.71</v>
      </c>
      <c r="D127" s="86">
        <f>SUM(D117:D126)</f>
        <v>236076.88</v>
      </c>
      <c r="E127" s="86">
        <f>SUM(E117:E126)</f>
        <v>97570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5535.54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963000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70778.84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>
      <c r="A134" t="s">
        <v>233</v>
      </c>
      <c r="B134" s="32" t="s">
        <v>234</v>
      </c>
      <c r="C134" s="95">
        <f>'DOE25'!L262</f>
        <v>3569.37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20398.95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366323.98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-1722.929999999993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1427883.75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>
      <c r="A144" s="33" t="s">
        <v>244</v>
      </c>
      <c r="C144" s="86">
        <f>(C114+C127+C143)</f>
        <v>12408178.460000001</v>
      </c>
      <c r="D144" s="86">
        <f>(D114+D127+D143)</f>
        <v>236076.88</v>
      </c>
      <c r="E144" s="86">
        <f>(E114+E127+E143)</f>
        <v>390045.94000000006</v>
      </c>
      <c r="F144" s="86">
        <f>(F114+F127+F143)</f>
        <v>0</v>
      </c>
      <c r="G144" s="86">
        <f>(G114+G127+G143)</f>
        <v>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10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 t="str">
        <f>'DOE25'!F490</f>
        <v>07/02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 t="str">
        <f>'DOE25'!F491</f>
        <v>08/12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9633000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4.9000000000000004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1926000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1926000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963000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963000</v>
      </c>
    </row>
    <row r="158" spans="1:9">
      <c r="A158" s="22" t="s">
        <v>35</v>
      </c>
      <c r="B158" s="137">
        <f>'DOE25'!F497</f>
        <v>963000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963000</v>
      </c>
    </row>
    <row r="159" spans="1:9">
      <c r="A159" s="22" t="s">
        <v>36</v>
      </c>
      <c r="B159" s="137">
        <f>'DOE25'!F498</f>
        <v>23593.5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23593.5</v>
      </c>
    </row>
    <row r="160" spans="1:9">
      <c r="A160" s="22" t="s">
        <v>37</v>
      </c>
      <c r="B160" s="137">
        <f>'DOE25'!F499</f>
        <v>986593.5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986593.5</v>
      </c>
    </row>
    <row r="161" spans="1:7">
      <c r="A161" s="22" t="s">
        <v>38</v>
      </c>
      <c r="B161" s="137">
        <f>'DOE25'!F500</f>
        <v>963000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963000</v>
      </c>
    </row>
    <row r="162" spans="1:7">
      <c r="A162" s="22" t="s">
        <v>39</v>
      </c>
      <c r="B162" s="137">
        <f>'DOE25'!F501</f>
        <v>23593.5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23593.5</v>
      </c>
    </row>
    <row r="163" spans="1:7">
      <c r="A163" s="22" t="s">
        <v>246</v>
      </c>
      <c r="B163" s="137">
        <f>'DOE25'!F502</f>
        <v>986593.5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986593.5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0"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Alton School District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14254</v>
      </c>
    </row>
    <row r="5" spans="1:4">
      <c r="B5" t="s">
        <v>704</v>
      </c>
      <c r="C5" s="179">
        <f>IF('DOE25'!G664+'DOE25'!G669=0,0,ROUND('DOE25'!G671,0))</f>
        <v>0</v>
      </c>
    </row>
    <row r="6" spans="1:4">
      <c r="B6" t="s">
        <v>62</v>
      </c>
      <c r="C6" s="179">
        <f>IF('DOE25'!H664+'DOE25'!H669=0,0,ROUND('DOE25'!H671,0))</f>
        <v>0</v>
      </c>
    </row>
    <row r="7" spans="1:4">
      <c r="B7" t="s">
        <v>705</v>
      </c>
      <c r="C7" s="179">
        <f>IF('DOE25'!I664+'DOE25'!I669=0,0,ROUND('DOE25'!I671,0))</f>
        <v>14254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6870525</v>
      </c>
      <c r="D10" s="182">
        <f>ROUND((C10/$C$28)*100,1)</f>
        <v>59.4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1779188</v>
      </c>
      <c r="D11" s="182">
        <f>ROUND((C11/$C$28)*100,1)</f>
        <v>15.4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73372</v>
      </c>
      <c r="D13" s="182">
        <f>ROUND((C13/$C$28)*100,1)</f>
        <v>0.6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486602</v>
      </c>
      <c r="D15" s="182">
        <f t="shared" ref="D15:D27" si="0">ROUND((C15/$C$28)*100,1)</f>
        <v>4.2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187707</v>
      </c>
      <c r="D16" s="182">
        <f t="shared" si="0"/>
        <v>1.6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249108</v>
      </c>
      <c r="D17" s="182">
        <f t="shared" si="0"/>
        <v>2.2000000000000002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331433</v>
      </c>
      <c r="D18" s="182">
        <f t="shared" si="0"/>
        <v>2.9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113986</v>
      </c>
      <c r="D19" s="182">
        <f t="shared" si="0"/>
        <v>1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780371</v>
      </c>
      <c r="D20" s="182">
        <f t="shared" si="0"/>
        <v>6.8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498049</v>
      </c>
      <c r="D21" s="182">
        <f t="shared" si="0"/>
        <v>4.3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70779</v>
      </c>
      <c r="D25" s="182">
        <f t="shared" si="0"/>
        <v>0.6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117679.88</v>
      </c>
      <c r="D27" s="182">
        <f t="shared" si="0"/>
        <v>1</v>
      </c>
    </row>
    <row r="28" spans="1:4">
      <c r="B28" s="187" t="s">
        <v>723</v>
      </c>
      <c r="C28" s="180">
        <f>SUM(C10:C27)</f>
        <v>11558799.880000001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5536</v>
      </c>
    </row>
    <row r="30" spans="1:4">
      <c r="B30" s="187" t="s">
        <v>729</v>
      </c>
      <c r="C30" s="180">
        <f>SUM(C28:C29)</f>
        <v>11564335.880000001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963000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8053136</v>
      </c>
      <c r="D35" s="182">
        <f t="shared" ref="D35:D40" si="1">ROUND((C35/$C$41)*100,1)</f>
        <v>62.7</v>
      </c>
    </row>
    <row r="36" spans="1:4">
      <c r="B36" s="185" t="s">
        <v>743</v>
      </c>
      <c r="C36" s="179">
        <f>SUM('DOE25'!F111:J111)-SUM('DOE25'!G96:G109)+('DOE25'!F173+'DOE25'!F174+'DOE25'!I173+'DOE25'!I174)-C35</f>
        <v>5209.0599999995902</v>
      </c>
      <c r="D36" s="182">
        <f t="shared" si="1"/>
        <v>0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3661577</v>
      </c>
      <c r="D37" s="182">
        <f t="shared" si="1"/>
        <v>28.5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542645</v>
      </c>
      <c r="D38" s="182">
        <f t="shared" si="1"/>
        <v>4.2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585641</v>
      </c>
      <c r="D39" s="182">
        <f t="shared" si="1"/>
        <v>4.5999999999999996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12848208.059999999</v>
      </c>
      <c r="D41" s="184">
        <f>SUM(D35:D40)</f>
        <v>100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4" t="s">
        <v>770</v>
      </c>
      <c r="B1" s="285"/>
      <c r="C1" s="285"/>
      <c r="D1" s="285"/>
      <c r="E1" s="285"/>
      <c r="F1" s="285"/>
      <c r="G1" s="285"/>
      <c r="H1" s="285"/>
      <c r="I1" s="285"/>
      <c r="J1" s="214"/>
      <c r="K1" s="214"/>
      <c r="L1" s="214"/>
      <c r="M1" s="215"/>
    </row>
    <row r="2" spans="1:26" ht="12.75">
      <c r="A2" s="292" t="s">
        <v>767</v>
      </c>
      <c r="B2" s="293"/>
      <c r="C2" s="293"/>
      <c r="D2" s="293"/>
      <c r="E2" s="293"/>
      <c r="F2" s="288" t="str">
        <f>'DOE25'!A2</f>
        <v>Alton School District</v>
      </c>
      <c r="G2" s="289"/>
      <c r="H2" s="289"/>
      <c r="I2" s="289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6" t="s">
        <v>771</v>
      </c>
      <c r="D3" s="286"/>
      <c r="E3" s="286"/>
      <c r="F3" s="286"/>
      <c r="G3" s="286"/>
      <c r="H3" s="286"/>
      <c r="I3" s="286"/>
      <c r="J3" s="286"/>
      <c r="K3" s="286"/>
      <c r="L3" s="286"/>
      <c r="M3" s="287"/>
    </row>
    <row r="4" spans="1:26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1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97" t="s">
        <v>848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F0A" sheet="1" objects="1" scenarios="1"/>
  <mergeCells count="223"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2012-10-16T15:11:33Z</cp:lastPrinted>
  <dcterms:created xsi:type="dcterms:W3CDTF">1997-12-04T19:04:30Z</dcterms:created>
  <dcterms:modified xsi:type="dcterms:W3CDTF">2012-11-21T14:09:15Z</dcterms:modified>
</cp:coreProperties>
</file>