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35" yWindow="120" windowWidth="15165" windowHeight="97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7" i="1" l="1"/>
  <c r="F467" i="1"/>
  <c r="F49" i="1"/>
  <c r="F13" i="1"/>
  <c r="C39" i="12"/>
  <c r="C10" i="12"/>
  <c r="B12" i="12"/>
  <c r="B10" i="12"/>
  <c r="F117" i="1"/>
  <c r="F56" i="1"/>
  <c r="H530" i="1"/>
  <c r="G525" i="1"/>
  <c r="G520" i="1"/>
  <c r="G521" i="1"/>
  <c r="F520" i="1"/>
  <c r="F521" i="1"/>
  <c r="J208" i="1"/>
  <c r="J471" i="1"/>
  <c r="F471" i="1"/>
  <c r="J467" i="1"/>
  <c r="H458" i="1"/>
  <c r="G458" i="1"/>
  <c r="K420" i="1"/>
  <c r="G420" i="1"/>
  <c r="F420" i="1"/>
  <c r="I402" i="1"/>
  <c r="J22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G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L249" i="1"/>
  <c r="L331" i="1"/>
  <c r="L253" i="1"/>
  <c r="C24" i="10" s="1"/>
  <c r="L267" i="1"/>
  <c r="L268" i="1"/>
  <c r="L348" i="1"/>
  <c r="L349" i="1"/>
  <c r="I664" i="1"/>
  <c r="I669" i="1"/>
  <c r="L228" i="1"/>
  <c r="L246" i="1"/>
  <c r="F660" i="1"/>
  <c r="H661" i="1"/>
  <c r="I668" i="1"/>
  <c r="C6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D102" i="2" s="1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09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C119" i="2"/>
  <c r="C120" i="2"/>
  <c r="E120" i="2"/>
  <c r="E122" i="2"/>
  <c r="C124" i="2"/>
  <c r="E124" i="2"/>
  <c r="D126" i="2"/>
  <c r="D127" i="2" s="1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33" i="1"/>
  <c r="F445" i="1"/>
  <c r="G445" i="1"/>
  <c r="G639" i="1" s="1"/>
  <c r="H445" i="1"/>
  <c r="G640" i="1" s="1"/>
  <c r="I445" i="1"/>
  <c r="F451" i="1"/>
  <c r="F460" i="1" s="1"/>
  <c r="H638" i="1" s="1"/>
  <c r="G451" i="1"/>
  <c r="H451" i="1"/>
  <c r="F459" i="1"/>
  <c r="G459" i="1"/>
  <c r="H459" i="1"/>
  <c r="I459" i="1"/>
  <c r="G460" i="1"/>
  <c r="H639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1" i="1"/>
  <c r="G642" i="1"/>
  <c r="H642" i="1"/>
  <c r="G643" i="1"/>
  <c r="G644" i="1"/>
  <c r="G649" i="1"/>
  <c r="G650" i="1"/>
  <c r="G651" i="1"/>
  <c r="H651" i="1"/>
  <c r="J651" i="1" s="1"/>
  <c r="G652" i="1"/>
  <c r="H652" i="1"/>
  <c r="G653" i="1"/>
  <c r="H653" i="1"/>
  <c r="J653" i="1" s="1"/>
  <c r="H654" i="1"/>
  <c r="F191" i="1"/>
  <c r="K256" i="1"/>
  <c r="K270" i="1" s="1"/>
  <c r="C26" i="10"/>
  <c r="L327" i="1"/>
  <c r="H659" i="1" s="1"/>
  <c r="L350" i="1"/>
  <c r="G8" i="2"/>
  <c r="G161" i="2"/>
  <c r="G158" i="2"/>
  <c r="C90" i="2"/>
  <c r="F61" i="2"/>
  <c r="F62" i="2" s="1"/>
  <c r="E143" i="2"/>
  <c r="G102" i="2"/>
  <c r="C102" i="2"/>
  <c r="D19" i="13"/>
  <c r="C19" i="13" s="1"/>
  <c r="G570" i="1" l="1"/>
  <c r="G407" i="1"/>
  <c r="H644" i="1" s="1"/>
  <c r="L255" i="1"/>
  <c r="C25" i="10"/>
  <c r="E123" i="2"/>
  <c r="E119" i="2"/>
  <c r="C10" i="10"/>
  <c r="L289" i="1"/>
  <c r="H660" i="1"/>
  <c r="C123" i="2"/>
  <c r="C117" i="2"/>
  <c r="C121" i="2"/>
  <c r="H460" i="1"/>
  <c r="H640" i="1" s="1"/>
  <c r="H407" i="1"/>
  <c r="H643" i="1" s="1"/>
  <c r="G256" i="1"/>
  <c r="G270" i="1" s="1"/>
  <c r="C18" i="10"/>
  <c r="K499" i="1"/>
  <c r="G162" i="2"/>
  <c r="C69" i="2"/>
  <c r="L528" i="1"/>
  <c r="L523" i="1"/>
  <c r="L533" i="1"/>
  <c r="K502" i="1"/>
  <c r="I451" i="1"/>
  <c r="I460" i="1" s="1"/>
  <c r="H641" i="1" s="1"/>
  <c r="J641" i="1" s="1"/>
  <c r="H433" i="1"/>
  <c r="L406" i="1"/>
  <c r="C139" i="2" s="1"/>
  <c r="D29" i="13"/>
  <c r="C29" i="13" s="1"/>
  <c r="L361" i="1"/>
  <c r="G661" i="1"/>
  <c r="C17" i="10"/>
  <c r="E121" i="2"/>
  <c r="F31" i="13"/>
  <c r="E118" i="2"/>
  <c r="G31" i="13"/>
  <c r="G33" i="13" s="1"/>
  <c r="E108" i="2"/>
  <c r="C16" i="10"/>
  <c r="K337" i="1"/>
  <c r="K351" i="1" s="1"/>
  <c r="C131" i="2"/>
  <c r="J649" i="1"/>
  <c r="C20" i="10"/>
  <c r="C13" i="10"/>
  <c r="I256" i="1"/>
  <c r="I270" i="1" s="1"/>
  <c r="D14" i="13"/>
  <c r="C14" i="13" s="1"/>
  <c r="C122" i="2"/>
  <c r="C127" i="2" s="1"/>
  <c r="L210" i="1"/>
  <c r="F659" i="1" s="1"/>
  <c r="H646" i="1"/>
  <c r="F661" i="1"/>
  <c r="I661" i="1" s="1"/>
  <c r="C19" i="10"/>
  <c r="C15" i="10"/>
  <c r="C21" i="10"/>
  <c r="D15" i="13"/>
  <c r="C15" i="13" s="1"/>
  <c r="G648" i="1"/>
  <c r="J648" i="1" s="1"/>
  <c r="C110" i="2"/>
  <c r="C114" i="2" s="1"/>
  <c r="C12" i="10"/>
  <c r="F256" i="1"/>
  <c r="F270" i="1" s="1"/>
  <c r="E90" i="2"/>
  <c r="F139" i="1"/>
  <c r="H663" i="1"/>
  <c r="H666" i="1" s="1"/>
  <c r="C61" i="2"/>
  <c r="C62" i="2" s="1"/>
  <c r="D49" i="2"/>
  <c r="I51" i="1"/>
  <c r="H619" i="1" s="1"/>
  <c r="J619" i="1" s="1"/>
  <c r="H51" i="1"/>
  <c r="H618" i="1" s="1"/>
  <c r="J618" i="1" s="1"/>
  <c r="E18" i="2"/>
  <c r="G51" i="1"/>
  <c r="H617" i="1" s="1"/>
  <c r="J617" i="1" s="1"/>
  <c r="F51" i="1"/>
  <c r="H616" i="1" s="1"/>
  <c r="J616" i="1" s="1"/>
  <c r="C18" i="2"/>
  <c r="J652" i="1"/>
  <c r="F544" i="1"/>
  <c r="I433" i="1"/>
  <c r="G163" i="2"/>
  <c r="G160" i="2"/>
  <c r="G159" i="2"/>
  <c r="G157" i="2"/>
  <c r="G156" i="2"/>
  <c r="G155" i="2"/>
  <c r="K433" i="1"/>
  <c r="G133" i="2" s="1"/>
  <c r="G143" i="2" s="1"/>
  <c r="G144" i="2" s="1"/>
  <c r="E114" i="2"/>
  <c r="I139" i="1"/>
  <c r="G139" i="1"/>
  <c r="G433" i="1"/>
  <c r="I191" i="1"/>
  <c r="F90" i="2"/>
  <c r="G80" i="2"/>
  <c r="F77" i="2"/>
  <c r="F80" i="2" s="1"/>
  <c r="E61" i="2"/>
  <c r="E62" i="2" s="1"/>
  <c r="E49" i="2"/>
  <c r="F18" i="2"/>
  <c r="I662" i="1"/>
  <c r="D12" i="13"/>
  <c r="C12" i="13" s="1"/>
  <c r="E8" i="13"/>
  <c r="C8" i="13" s="1"/>
  <c r="E102" i="2"/>
  <c r="F102" i="2"/>
  <c r="D90" i="2"/>
  <c r="C77" i="2"/>
  <c r="D61" i="2"/>
  <c r="D62" i="2" s="1"/>
  <c r="E31" i="2"/>
  <c r="F31" i="2"/>
  <c r="C31" i="2"/>
  <c r="D31" i="2"/>
  <c r="D50" i="2" s="1"/>
  <c r="D18" i="2"/>
  <c r="G61" i="2"/>
  <c r="G62" i="2" s="1"/>
  <c r="G103" i="2" s="1"/>
  <c r="A31" i="12"/>
  <c r="A40" i="12"/>
  <c r="D18" i="13"/>
  <c r="C18" i="13" s="1"/>
  <c r="D17" i="13"/>
  <c r="C17" i="13" s="1"/>
  <c r="D7" i="13"/>
  <c r="C7" i="13" s="1"/>
  <c r="D6" i="13"/>
  <c r="C6" i="13" s="1"/>
  <c r="E13" i="13"/>
  <c r="C13" i="13" s="1"/>
  <c r="F49" i="2"/>
  <c r="A22" i="1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F570" i="1"/>
  <c r="H256" i="1"/>
  <c r="H270" i="1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F551" i="1"/>
  <c r="C35" i="10"/>
  <c r="L308" i="1"/>
  <c r="D5" i="13"/>
  <c r="E16" i="13"/>
  <c r="C49" i="2"/>
  <c r="J654" i="1"/>
  <c r="J644" i="1"/>
  <c r="J192" i="1"/>
  <c r="H671" i="1"/>
  <c r="L569" i="1"/>
  <c r="I570" i="1"/>
  <c r="I544" i="1"/>
  <c r="J635" i="1"/>
  <c r="G36" i="2"/>
  <c r="G49" i="2" s="1"/>
  <c r="J50" i="1"/>
  <c r="H192" i="1"/>
  <c r="G628" i="1" s="1"/>
  <c r="J628" i="1" s="1"/>
  <c r="L564" i="1"/>
  <c r="L570" i="1" s="1"/>
  <c r="G544" i="1"/>
  <c r="H544" i="1"/>
  <c r="K550" i="1"/>
  <c r="F143" i="2"/>
  <c r="F144" i="2" s="1"/>
  <c r="C80" i="2" l="1"/>
  <c r="L544" i="1"/>
  <c r="L256" i="1"/>
  <c r="L270" i="1" s="1"/>
  <c r="G631" i="1" s="1"/>
  <c r="J631" i="1" s="1"/>
  <c r="G50" i="2"/>
  <c r="C27" i="10"/>
  <c r="G634" i="1"/>
  <c r="J634" i="1" s="1"/>
  <c r="F663" i="1"/>
  <c r="F666" i="1" s="1"/>
  <c r="E144" i="2"/>
  <c r="C28" i="10"/>
  <c r="C30" i="10" s="1"/>
  <c r="D103" i="2"/>
  <c r="G192" i="1"/>
  <c r="G627" i="1" s="1"/>
  <c r="J627" i="1" s="1"/>
  <c r="C38" i="10"/>
  <c r="C103" i="2"/>
  <c r="E103" i="2"/>
  <c r="C36" i="10"/>
  <c r="F192" i="1"/>
  <c r="G626" i="1" s="1"/>
  <c r="J626" i="1" s="1"/>
  <c r="F50" i="2"/>
  <c r="E50" i="2"/>
  <c r="C50" i="2"/>
  <c r="K551" i="1"/>
  <c r="H647" i="1"/>
  <c r="J647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F671" i="1"/>
  <c r="C4" i="10" s="1"/>
  <c r="D10" i="10"/>
  <c r="D25" i="10"/>
  <c r="D26" i="10"/>
  <c r="D13" i="10"/>
  <c r="D12" i="10"/>
  <c r="D19" i="10"/>
  <c r="D27" i="10"/>
  <c r="D20" i="10"/>
  <c r="D18" i="10"/>
  <c r="D23" i="10"/>
  <c r="D15" i="10"/>
  <c r="D21" i="10"/>
  <c r="D16" i="10"/>
  <c r="D11" i="10"/>
  <c r="D17" i="10"/>
  <c r="D24" i="10"/>
  <c r="D22" i="10"/>
  <c r="G636" i="1"/>
  <c r="J636" i="1" s="1"/>
  <c r="H645" i="1"/>
  <c r="J645" i="1" s="1"/>
  <c r="D33" i="13"/>
  <c r="D36" i="13" s="1"/>
  <c r="G663" i="1"/>
  <c r="I659" i="1"/>
  <c r="I663" i="1" s="1"/>
  <c r="D38" i="10"/>
  <c r="J625" i="1"/>
  <c r="D37" i="10" l="1"/>
  <c r="D35" i="10"/>
  <c r="D40" i="10"/>
  <c r="D36" i="10"/>
  <c r="H655" i="1"/>
  <c r="D28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<sst xmlns="http://schemas.openxmlformats.org/spreadsheetml/2006/main" count="3947" uniqueCount="914">
  <si>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</si>
  <si>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</si>
  <si>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</si>
  <si>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</si>
  <si>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</si>
  <si>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</si>
  <si>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</si>
  <si>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</si>
  <si>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</si>
  <si>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</si>
  <si>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</si>
  <si>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</si>
  <si>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</si>
  <si>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</si>
  <si>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</si>
  <si>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</si>
  <si>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</si>
  <si>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</si>
  <si>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</si>
  <si>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</si>
  <si>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</si>
  <si>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</si>
  <si>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</si>
  <si>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</si>
  <si>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</si>
  <si>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</si>
  <si>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</si>
  <si>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</si>
  <si>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</si>
  <si>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</si>
  <si>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</si>
  <si>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</si>
  <si>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</si>
  <si>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</si>
  <si>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</si>
  <si>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</si>
  <si>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</si>
  <si>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</si>
  <si>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</si>
  <si>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</si>
  <si>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</si>
  <si>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</si>
  <si>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</si>
  <si>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</si>
  <si>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</si>
  <si>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</si>
  <si>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</si>
  <si>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</si>
  <si>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</si>
  <si>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</si>
  <si>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</si>
  <si>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</si>
  <si>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</si>
  <si>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</si>
  <si>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</si>
  <si>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</si>
  <si>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</si>
  <si>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</si>
  <si>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</si>
  <si>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</si>
  <si>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</si>
  <si>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</si>
  <si>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</si>
  <si>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</si>
  <si>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</si>
  <si>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</si>
  <si>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</si>
  <si>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</si>
  <si>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</si>
  <si>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</si>
  <si>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</si>
  <si>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</si>
  <si>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</si>
  <si>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</si>
  <si>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</si>
  <si>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</si>
  <si>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</si>
  <si>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</si>
  <si>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</si>
  <si>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</si>
  <si>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</si>
  <si>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</si>
  <si>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</si>
  <si>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</si>
  <si>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</si>
  <si>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</si>
  <si>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</si>
  <si>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</si>
  <si>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</si>
  <si>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</si>
  <si>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</si>
  <si>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</si>
  <si>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</si>
  <si>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</si>
  <si>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</si>
  <si>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</si>
  <si>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</si>
  <si>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</si>
  <si>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</si>
  <si>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</si>
  <si>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</si>
  <si>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</si>
  <si>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</si>
  <si>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</si>
  <si>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</si>
  <si>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</si>
  <si>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</si>
  <si>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</si>
  <si>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</si>
  <si>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</si>
  <si>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</si>
  <si>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</si>
  <si>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</si>
  <si>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</si>
  <si>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</si>
  <si>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</si>
  <si>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</si>
  <si>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</si>
  <si>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</si>
  <si>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</si>
  <si>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</si>
  <si>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</si>
  <si>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</si>
  <si>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</si>
  <si>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</si>
  <si>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</si>
  <si>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</si>
  <si>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</si>
  <si>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</si>
  <si>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</si>
  <si>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</si>
  <si>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</si>
  <si>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</si>
  <si>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</si>
  <si>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</si>
  <si>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</si>
  <si>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</si>
  <si>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</si>
  <si>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</si>
  <si>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</si>
  <si>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</si>
  <si>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</si>
  <si>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</si>
  <si>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</si>
  <si>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</si>
  <si>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</si>
  <si>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</si>
  <si>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</si>
  <si>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</si>
  <si>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</si>
  <si>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</si>
  <si>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</si>
  <si>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</si>
  <si>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</si>
  <si>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</si>
  <si>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</si>
  <si>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</si>
  <si>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</si>
  <si>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</si>
  <si>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</si>
  <si>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</si>
  <si>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</si>
  <si>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</si>
  <si>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</si>
  <si>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</si>
  <si>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</si>
  <si>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</si>
  <si>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</si>
  <si>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</si>
  <si>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</si>
  <si>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</si>
  <si>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</si>
  <si>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</si>
  <si>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</si>
  <si>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</si>
  <si>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</si>
  <si>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</si>
  <si>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</si>
  <si>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</si>
  <si>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</si>
  <si>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</si>
  <si>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</si>
  <si>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</si>
  <si>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</si>
  <si>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</si>
  <si>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</si>
  <si>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</si>
  <si>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</si>
  <si>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</si>
  <si>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</si>
  <si>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</si>
  <si>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</si>
  <si>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</si>
  <si>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</si>
  <si>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</si>
  <si>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</si>
  <si>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</si>
  <si>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</si>
  <si>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</si>
  <si>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</si>
  <si>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</si>
  <si>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</si>
  <si>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</si>
  <si>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</si>
  <si>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</si>
  <si>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</si>
  <si>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</si>
  <si>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</si>
  <si>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</si>
  <si>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</si>
  <si>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</si>
  <si>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</si>
  <si>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</si>
  <si>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</si>
  <si>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</si>
  <si>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</si>
  <si>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</si>
  <si>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</si>
  <si>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</si>
  <si>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</si>
  <si>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</si>
  <si>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</si>
  <si>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</si>
  <si>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</si>
  <si>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</si>
  <si>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</si>
  <si>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</si>
  <si>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</si>
  <si>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</si>
  <si>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</si>
  <si>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</si>
  <si>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</si>
  <si>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</si>
  <si>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</si>
  <si>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</si>
  <si>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</si>
  <si>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</si>
  <si>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</si>
  <si>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</si>
  <si>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</si>
  <si>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</si>
  <si>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</si>
  <si>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</si>
  <si>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</si>
  <si>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</si>
  <si>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</si>
  <si>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</si>
  <si>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</si>
  <si>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</si>
  <si>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</si>
  <si>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</si>
  <si>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</si>
  <si>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</si>
  <si>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</si>
  <si>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</si>
  <si>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</si>
  <si>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</si>
  <si>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</si>
  <si>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</si>
  <si>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</si>
  <si>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</si>
  <si>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</si>
  <si>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</si>
  <si>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</si>
  <si>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</si>
  <si>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</si>
  <si>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</si>
  <si>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</si>
  <si>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</si>
  <si>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</si>
  <si>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</si>
  <si>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</si>
  <si>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</si>
  <si>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</si>
  <si>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</si>
  <si>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</si>
  <si>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</si>
  <si>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</si>
  <si>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</si>
  <si>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</si>
  <si>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</si>
  <si>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</si>
  <si>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</si>
  <si>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</si>
  <si>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</si>
  <si>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</si>
  <si>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</si>
  <si>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</si>
  <si>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</si>
  <si>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</si>
  <si>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</si>
  <si>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</si>
  <si>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</si>
  <si>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</si>
  <si>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</si>
  <si>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</si>
  <si>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</si>
  <si>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</si>
  <si>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</si>
  <si>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</si>
  <si>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</si>
  <si>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</si>
  <si>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</si>
  <si>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</si>
  <si>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</si>
  <si>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</si>
  <si>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</si>
  <si>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</si>
  <si>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</si>
  <si>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</si>
  <si>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</si>
  <si>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</si>
  <si>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</si>
  <si>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</si>
  <si>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</si>
  <si>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</si>
  <si>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</si>
  <si>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</si>
  <si>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</si>
  <si>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</si>
  <si>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</si>
  <si>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</si>
  <si>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</si>
  <si>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</si>
  <si>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</si>
  <si>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</si>
  <si>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</si>
  <si>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</si>
  <si>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</si>
  <si>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</si>
  <si>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</si>
  <si>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</si>
  <si>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</si>
  <si>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</si>
  <si>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</si>
  <si>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</si>
  <si>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</si>
  <si>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</si>
  <si>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</si>
  <si>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</si>
  <si>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</si>
  <si>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</si>
  <si>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</si>
  <si>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</si>
  <si>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</si>
  <si>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</si>
  <si>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</si>
  <si>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</si>
  <si>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</si>
  <si>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</si>
  <si>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</si>
  <si>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</si>
  <si>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</si>
  <si>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</si>
  <si>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</si>
  <si>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</si>
  <si>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</si>
  <si>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</si>
  <si>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</si>
  <si>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</si>
  <si>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</si>
  <si>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</si>
  <si>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</si>
  <si>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</si>
  <si>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</si>
  <si>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</si>
  <si>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</si>
  <si>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</si>
  <si>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</si>
  <si>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</si>
  <si>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</si>
  <si>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</si>
  <si>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</si>
  <si>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</si>
  <si>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</si>
  <si>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</si>
  <si>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</si>
  <si>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</si>
  <si>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</si>
  <si>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</si>
  <si>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</si>
  <si>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</si>
  <si>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</si>
  <si>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</si>
  <si>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</si>
  <si>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</si>
  <si>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</si>
  <si>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</si>
  <si>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</si>
  <si>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</si>
  <si>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</si>
  <si>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</si>
  <si>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</si>
  <si>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</si>
  <si>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</si>
  <si>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</si>
  <si>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</si>
  <si>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</si>
  <si>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</si>
  <si>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</si>
  <si>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</si>
  <si>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</si>
  <si>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</si>
  <si>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</si>
  <si>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</si>
  <si>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</si>
  <si>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</si>
  <si>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</si>
  <si>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</si>
  <si>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</si>
  <si>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</si>
  <si>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</si>
  <si>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</si>
  <si>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</si>
  <si>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</si>
  <si>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</si>
  <si>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</si>
  <si>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</si>
  <si>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</si>
  <si>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</si>
  <si>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</si>
  <si>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</si>
  <si>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</si>
  <si>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</si>
  <si>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</si>
  <si>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</si>
  <si>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</si>
  <si>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</si>
  <si>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</si>
  <si>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</si>
  <si>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</si>
  <si>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</si>
  <si>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</si>
  <si>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</si>
  <si>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</si>
  <si>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</si>
  <si>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</si>
  <si>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</si>
  <si>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</si>
  <si>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</si>
  <si>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</si>
  <si>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</si>
  <si>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</si>
  <si>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</si>
  <si>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</si>
  <si>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</si>
  <si>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</si>
  <si>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</si>
  <si>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</si>
  <si>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</si>
  <si>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</si>
  <si>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</si>
  <si>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</si>
  <si>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</si>
  <si>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</si>
  <si>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</si>
  <si>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</si>
  <si>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</si>
  <si>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</si>
  <si>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</si>
  <si>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</si>
  <si>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</si>
  <si>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</si>
  <si>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</si>
  <si>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</si>
  <si>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</si>
  <si>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</si>
  <si>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</si>
  <si>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</si>
  <si>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</si>
  <si>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</si>
  <si>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</si>
  <si>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</si>
  <si>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</si>
  <si>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</si>
  <si>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</si>
  <si>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</si>
  <si>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</si>
  <si>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</si>
  <si>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</si>
  <si>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</si>
  <si>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</si>
  <si>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</si>
  <si>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</si>
  <si>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</si>
  <si>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</si>
  <si>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</si>
  <si>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</si>
  <si>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</si>
  <si>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</si>
  <si>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</si>
  <si>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</si>
  <si>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</si>
  <si>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</si>
  <si>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</si>
  <si>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</si>
  <si>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</si>
  <si>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</si>
  <si>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</si>
  <si>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</si>
  <si>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</si>
  <si>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</si>
  <si>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</si>
  <si>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</si>
  <si>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</si>
  <si>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</si>
  <si>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</si>
  <si>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</si>
  <si>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</si>
  <si>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</si>
  <si>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</si>
  <si>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</si>
  <si>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</si>
  <si>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</si>
  <si>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</si>
  <si>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</si>
  <si>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</si>
  <si>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</si>
  <si>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</si>
  <si>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</si>
  <si>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</si>
  <si>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</si>
  <si>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</si>
  <si>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</si>
  <si>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</si>
  <si>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</si>
  <si>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</si>
  <si>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</si>
  <si>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</si>
  <si>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</si>
  <si>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</si>
  <si>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</si>
  <si>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</si>
  <si>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</si>
  <si>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</si>
  <si>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</si>
  <si>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</si>
  <si>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</si>
  <si>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</si>
  <si>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</si>
  <si>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</si>
  <si>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</si>
  <si>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</si>
  <si>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</si>
  <si>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</si>
  <si>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</si>
  <si>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</si>
  <si>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</si>
  <si>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</si>
  <si>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</si>
  <si>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</si>
  <si>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</si>
  <si>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</si>
  <si>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</si>
  <si>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</si>
  <si>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</si>
  <si>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</si>
  <si>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</si>
  <si>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</si>
  <si>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</si>
  <si>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</si>
  <si>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</si>
  <si>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</si>
  <si>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</si>
  <si>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</si>
  <si>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</si>
  <si>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</si>
  <si>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</si>
  <si>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</si>
  <si>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</si>
  <si>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</si>
  <si>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</si>
  <si>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</si>
  <si>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</si>
  <si>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</si>
  <si>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</si>
  <si>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</si>
  <si>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</si>
  <si>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</si>
  <si>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</si>
  <si>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</si>
  <si>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</si>
  <si>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</si>
  <si>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</si>
  <si>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</si>
  <si>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</si>
  <si>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</si>
  <si>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</si>
  <si>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</si>
  <si>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</si>
  <si>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</si>
  <si>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</si>
  <si>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</si>
  <si>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</si>
  <si>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</si>
  <si>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</si>
  <si>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</si>
  <si>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</si>
  <si>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</si>
  <si>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</si>
  <si>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</si>
  <si>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</si>
  <si>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</si>
  <si>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</si>
  <si>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</si>
  <si>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</si>
  <si>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</si>
  <si>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</si>
  <si>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</si>
  <si>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</si>
  <si>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</si>
  <si>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</si>
  <si>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</si>
  <si>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</si>
  <si>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</si>
  <si>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</si>
  <si>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</si>
  <si>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</si>
  <si>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</si>
  <si>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</si>
  <si>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</si>
  <si>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</si>
  <si>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</si>
  <si>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</si>
  <si>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</si>
  <si>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</si>
  <si>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</si>
  <si>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</si>
  <si>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</si>
  <si>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</si>
  <si>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</si>
  <si>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</si>
  <si>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</si>
  <si>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</si>
  <si>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</si>
  <si>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</si>
  <si>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</si>
  <si>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</si>
  <si>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</si>
  <si>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</si>
  <si>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</si>
  <si>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</si>
  <si>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</si>
  <si>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</si>
  <si>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</si>
  <si>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</si>
  <si>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</si>
  <si>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</si>
  <si>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</si>
  <si>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</si>
  <si>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</si>
  <si>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</si>
  <si>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</si>
  <si>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</si>
  <si>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</si>
  <si>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</si>
  <si>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</si>
  <si>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</si>
  <si>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</si>
  <si>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</si>
  <si>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</si>
  <si>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</si>
  <si>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</si>
  <si>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</si>
  <si>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</si>
  <si>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</si>
  <si>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</si>
  <si>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</si>
  <si>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</si>
  <si>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</si>
  <si>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</si>
  <si>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</si>
  <si>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</si>
  <si>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</si>
  <si>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</si>
  <si>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</si>
  <si>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</si>
  <si>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</si>
  <si>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</si>
  <si>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</si>
  <si>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</si>
  <si>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</si>
  <si>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</si>
  <si>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</si>
  <si>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</si>
  <si>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</si>
  <si>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</si>
  <si>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</si>
  <si>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</si>
  <si>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</si>
  <si>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</si>
  <si>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</si>
  <si>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</si>
  <si>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</si>
  <si>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</si>
  <si>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</si>
  <si>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</si>
  <si>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</si>
  <si>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</si>
  <si>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</si>
  <si>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</si>
  <si>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</si>
  <si>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</si>
  <si>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</si>
  <si>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</si>
  <si>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</si>
  <si>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</si>
  <si>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</si>
  <si>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</si>
  <si>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</si>
  <si>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</si>
  <si>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</si>
  <si>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</si>
  <si>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</si>
  <si>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</si>
  <si>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</si>
  <si>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</si>
  <si>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</si>
  <si>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</si>
  <si>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</si>
  <si>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</si>
  <si>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</si>
  <si>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</si>
  <si>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</si>
  <si>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</si>
  <si>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</si>
  <si>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</si>
  <si>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</si>
  <si>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</si>
  <si>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</si>
  <si>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</si>
  <si>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</si>
  <si>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</si>
  <si>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</si>
  <si>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</si>
  <si>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</si>
  <si>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</si>
  <si>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</si>
  <si>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</si>
  <si>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</si>
  <si>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</si>
  <si>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</si>
  <si>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</si>
  <si>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</si>
  <si>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</si>
  <si>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</si>
  <si>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</si>
  <si>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</si>
  <si>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</si>
  <si>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</si>
  <si>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</si>
  <si>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</si>
  <si>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</si>
  <si>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</si>
  <si>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</si>
  <si>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</si>
  <si>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</si>
  <si>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</si>
  <si>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</si>
  <si>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</si>
  <si>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</si>
  <si>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</si>
  <si>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</si>
  <si>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</si>
  <si>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</si>
  <si>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</si>
  <si>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</si>
  <si>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</si>
  <si>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</si>
  <si>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</si>
  <si>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</si>
  <si>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</si>
  <si>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</si>
  <si>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</si>
  <si>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</si>
  <si>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</si>
  <si>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</si>
  <si>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</si>
  <si>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</si>
  <si>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</si>
  <si>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</si>
  <si>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</si>
  <si>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</si>
  <si>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</si>
  <si>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</si>
  <si>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</si>
  <si>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</si>
  <si>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</si>
  <si>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</si>
  <si>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</si>
  <si>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</si>
  <si>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</si>
  <si>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</si>
  <si>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</si>
  <si>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</si>
  <si>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</si>
  <si>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</si>
  <si>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</si>
  <si>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</si>
  <si>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</si>
  <si>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</si>
  <si>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</si>
  <si>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</si>
  <si>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</si>
  <si>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</si>
  <si>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</si>
  <si>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</si>
  <si>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</si>
  <si>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</si>
  <si>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</si>
  <si>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</si>
  <si>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</si>
  <si>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</si>
  <si>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</si>
  <si>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</si>
  <si>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</si>
  <si>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</si>
  <si>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</si>
  <si>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</si>
  <si>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</si>
  <si>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</si>
  <si>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</si>
  <si>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</si>
  <si>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</si>
  <si>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</si>
  <si>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</si>
  <si>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</si>
  <si>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</si>
  <si>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</si>
  <si>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</si>
  <si>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</si>
  <si>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</si>
  <si>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</si>
  <si>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</si>
  <si>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</si>
  <si>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</si>
  <si>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</si>
  <si>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</si>
  <si>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</si>
  <si>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</si>
  <si>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</si>
  <si>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</si>
  <si>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</si>
  <si>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</si>
  <si>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</si>
  <si>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</si>
  <si>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</si>
  <si>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</si>
  <si>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</si>
  <si>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</si>
  <si>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</si>
  <si>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</si>
  <si>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</si>
  <si>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</si>
  <si>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</si>
  <si>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</si>
  <si>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</si>
  <si>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</si>
  <si>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</si>
  <si>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</si>
  <si>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</si>
  <si>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</si>
  <si>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</si>
  <si>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</si>
  <si>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</si>
  <si>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</si>
  <si>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</si>
  <si>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</si>
  <si>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</si>
  <si>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</si>
  <si>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</si>
  <si>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</si>
  <si>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</si>
  <si>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</si>
  <si>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</si>
  <si>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</si>
  <si>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</si>
  <si>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</si>
  <si>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</si>
  <si>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</si>
  <si>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</si>
  <si>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</si>
  <si>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</si>
  <si>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</si>
  <si>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</si>
  <si>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</si>
  <si>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</si>
  <si>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</si>
  <si>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</si>
  <si>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</si>
  <si>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</si>
  <si>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</si>
  <si>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</si>
  <si>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</si>
  <si>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</si>
  <si>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</si>
  <si>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</si>
  <si>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</si>
  <si>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</si>
  <si>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</si>
  <si>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</si>
  <si>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</si>
  <si>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</si>
  <si>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</si>
  <si>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</si>
  <si>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</si>
  <si>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</si>
  <si>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</si>
  <si>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</si>
  <si>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07/01</t>
  </si>
  <si>
    <t>07/21</t>
  </si>
  <si>
    <t>07/08</t>
  </si>
  <si>
    <t>08/28</t>
  </si>
  <si>
    <t>Amherst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</si>
</sst>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  <family val="2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530" activePane="bottomRight" state="frozen"/>
      <selection pane="topRight" activeCell="F1" sqref="F1"/>
      <selection pane="bottomLeft" activeCell="A4" sqref="A4"/>
      <selection pane="bottomRight" activeCell="H540" sqref="H540: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17</v>
      </c>
      <c r="C2" s="21">
        <v>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-537716.36</v>
      </c>
      <c r="G9" s="18">
        <v>0</v>
      </c>
      <c r="H9" s="18">
        <v>0</v>
      </c>
      <c r="I9" s="18">
        <v>30.89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852955.02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53744.68</v>
      </c>
      <c r="G12" s="18">
        <v>74754.539999999994</v>
      </c>
      <c r="H12" s="18">
        <v>0</v>
      </c>
      <c r="I12" s="18">
        <v>0</v>
      </c>
      <c r="J12" s="67">
        <f>SUM(I440)</f>
        <v>36.979999999999997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14095.81+93087.3</f>
        <v>107183.11</v>
      </c>
      <c r="G13" s="18">
        <v>3191.25</v>
      </c>
      <c r="H13" s="18">
        <v>156040.82999999999</v>
      </c>
      <c r="I13" s="18">
        <v>0</v>
      </c>
      <c r="J13" s="67">
        <f>SUM(I441)</f>
        <v>16527.71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6465.28</v>
      </c>
      <c r="G14" s="18">
        <v>163.11000000000001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432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483063.73000000004</v>
      </c>
      <c r="G19" s="41">
        <f>SUM(G9:G18)</f>
        <v>78108.899999999994</v>
      </c>
      <c r="H19" s="41">
        <f>SUM(H9:H18)</f>
        <v>156040.82999999999</v>
      </c>
      <c r="I19" s="41">
        <f>SUM(I9:I18)</f>
        <v>30.89</v>
      </c>
      <c r="J19" s="41">
        <f>SUM(J9:J18)</f>
        <v>16564.689999999999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128243.68</v>
      </c>
      <c r="I22" s="18">
        <v>0</v>
      </c>
      <c r="J22" s="67">
        <f>SUM(I447)</f>
        <v>292.52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10461.9</v>
      </c>
      <c r="G23" s="18">
        <v>7579.36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121605.8</v>
      </c>
      <c r="G24" s="18">
        <v>0</v>
      </c>
      <c r="H24" s="18">
        <v>17623.54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1056.6099999999999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13458.79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8110.12</v>
      </c>
      <c r="G30" s="18">
        <v>0</v>
      </c>
      <c r="H30" s="18">
        <v>10173.61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41.15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154734.37</v>
      </c>
      <c r="G32" s="41">
        <f>SUM(G22:G31)</f>
        <v>7579.36</v>
      </c>
      <c r="H32" s="41">
        <f>SUM(H22:H31)</f>
        <v>156040.83000000002</v>
      </c>
      <c r="I32" s="41">
        <f>SUM(I22:I31)</f>
        <v>0</v>
      </c>
      <c r="J32" s="41">
        <f>SUM(J22:J31)</f>
        <v>292.52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80000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46046.85</v>
      </c>
      <c r="G47" s="18">
        <v>67975.539999999994</v>
      </c>
      <c r="H47" s="18">
        <v>0</v>
      </c>
      <c r="I47" s="18">
        <v>30.89</v>
      </c>
      <c r="J47" s="13">
        <f>SUM(I458)</f>
        <v>16272.170000000002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2554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109195.21+93087.3</f>
        <v>202282.51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328329.36</v>
      </c>
      <c r="G50" s="41">
        <f>SUM(G35:G49)</f>
        <v>70529.539999999994</v>
      </c>
      <c r="H50" s="41">
        <f>SUM(H35:H49)</f>
        <v>0</v>
      </c>
      <c r="I50" s="41">
        <f>SUM(I35:I49)</f>
        <v>30.89</v>
      </c>
      <c r="J50" s="41">
        <f>SUM(J35:J49)</f>
        <v>16272.170000000002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483063.73</v>
      </c>
      <c r="G51" s="41">
        <f>G50+G32</f>
        <v>78108.899999999994</v>
      </c>
      <c r="H51" s="41">
        <f>H50+H32</f>
        <v>156040.83000000002</v>
      </c>
      <c r="I51" s="41">
        <f>I50+I32</f>
        <v>30.89</v>
      </c>
      <c r="J51" s="41">
        <f>J50+J32</f>
        <v>16564.690000000002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15994223+1180</f>
        <v>15995403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15995403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27517.01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1088586.79+93087.3</f>
        <v>1181674.0900000001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1209191.1000000001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5829.13</v>
      </c>
      <c r="G95" s="18"/>
      <c r="H95" s="18"/>
      <c r="I95" s="18">
        <v>0.05</v>
      </c>
      <c r="J95" s="18">
        <v>80.53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377251.81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17067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980</v>
      </c>
      <c r="G100" s="18">
        <v>140.44999999999999</v>
      </c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637.67999999999995</v>
      </c>
      <c r="G101" s="18"/>
      <c r="H101" s="18">
        <v>18759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8523.86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3330.73</v>
      </c>
      <c r="G108" s="18">
        <v>2.34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187.52</v>
      </c>
      <c r="G109" s="18">
        <v>1063.3</v>
      </c>
      <c r="H109" s="18"/>
      <c r="I109" s="18"/>
      <c r="J109" s="18">
        <v>11017.03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36555.919999999998</v>
      </c>
      <c r="G110" s="41">
        <f>SUM(G95:G109)</f>
        <v>378457.9</v>
      </c>
      <c r="H110" s="41">
        <f>SUM(H95:H109)</f>
        <v>18759</v>
      </c>
      <c r="I110" s="41">
        <f>SUM(I95:I109)</f>
        <v>0.05</v>
      </c>
      <c r="J110" s="41">
        <f>SUM(J95:J109)</f>
        <v>11097.560000000001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17241150.020000003</v>
      </c>
      <c r="G111" s="41">
        <f>G59+G110</f>
        <v>378457.9</v>
      </c>
      <c r="H111" s="41">
        <f>H59+H78+H93+H110</f>
        <v>18759</v>
      </c>
      <c r="I111" s="41">
        <f>I59+I110</f>
        <v>0.05</v>
      </c>
      <c r="J111" s="41">
        <f>J59+J110</f>
        <v>11097.560000000001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2700420.27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2556568-1180</f>
        <v>2555388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2339.73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21902.09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5280050.09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157401.94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291914.74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4047.02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449316.68</v>
      </c>
      <c r="G135" s="41">
        <f>SUM(G122:G134)</f>
        <v>4047.02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5729366.7699999996</v>
      </c>
      <c r="G139" s="41">
        <f>G120+SUM(G135:G136)</f>
        <v>4047.02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62665.760000000002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109663.18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75034.73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309589.02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136822.78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109503.4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246326.18</v>
      </c>
      <c r="G161" s="41">
        <f>SUM(G149:G160)</f>
        <v>75034.73</v>
      </c>
      <c r="H161" s="41">
        <f>SUM(H149:H160)</f>
        <v>481917.96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246326.18</v>
      </c>
      <c r="G168" s="41">
        <f>G146+G161+SUM(G162:G167)</f>
        <v>75034.73</v>
      </c>
      <c r="H168" s="41">
        <f>H146+H161+SUM(H162:H167)</f>
        <v>481917.96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60000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60000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60000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23216842.970000003</v>
      </c>
      <c r="G192" s="47">
        <f>G111+G139+G168+G191</f>
        <v>457539.65</v>
      </c>
      <c r="H192" s="47">
        <f>H111+H139+H168+H191</f>
        <v>500676.96</v>
      </c>
      <c r="I192" s="47">
        <f>I111+I139+I168+I191</f>
        <v>0.05</v>
      </c>
      <c r="J192" s="47">
        <f>J111+J139+J191</f>
        <v>71097.56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3323054.77</v>
      </c>
      <c r="G196" s="18">
        <v>1556285.34</v>
      </c>
      <c r="H196" s="18">
        <v>25705</v>
      </c>
      <c r="I196" s="18">
        <v>218698.98</v>
      </c>
      <c r="J196" s="18">
        <v>64792.02</v>
      </c>
      <c r="K196" s="18">
        <v>0</v>
      </c>
      <c r="L196" s="19">
        <f>SUM(F196:K196)</f>
        <v>5188536.1100000003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1129269.0900000001</v>
      </c>
      <c r="G197" s="18">
        <v>557801.92000000004</v>
      </c>
      <c r="H197" s="18">
        <v>507157.69</v>
      </c>
      <c r="I197" s="18">
        <v>12921.49</v>
      </c>
      <c r="J197" s="18">
        <v>5814.06</v>
      </c>
      <c r="K197" s="18">
        <v>530</v>
      </c>
      <c r="L197" s="19">
        <f>SUM(F197:K197)</f>
        <v>2213494.2500000005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700</v>
      </c>
      <c r="G199" s="18">
        <v>131.87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831.87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350005.87</v>
      </c>
      <c r="G201" s="18">
        <v>157005.82999999999</v>
      </c>
      <c r="H201" s="18">
        <v>6750.87</v>
      </c>
      <c r="I201" s="18">
        <v>2337.4899999999998</v>
      </c>
      <c r="J201" s="18">
        <v>0</v>
      </c>
      <c r="K201" s="18">
        <v>0</v>
      </c>
      <c r="L201" s="19">
        <f t="shared" ref="L201:L207" si="0">SUM(F201:K201)</f>
        <v>516100.05999999994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109677.3</v>
      </c>
      <c r="G202" s="18">
        <v>65087.13</v>
      </c>
      <c r="H202" s="18">
        <v>1652.5</v>
      </c>
      <c r="I202" s="18">
        <v>17280.13</v>
      </c>
      <c r="J202" s="18">
        <v>940.32</v>
      </c>
      <c r="K202" s="18">
        <v>0</v>
      </c>
      <c r="L202" s="19">
        <f t="shared" si="0"/>
        <v>194637.38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4065.99</v>
      </c>
      <c r="G203" s="18">
        <v>311.05</v>
      </c>
      <c r="H203" s="18">
        <v>578687.38</v>
      </c>
      <c r="I203" s="18">
        <v>0</v>
      </c>
      <c r="J203" s="18">
        <v>0</v>
      </c>
      <c r="K203" s="18">
        <v>2674.37</v>
      </c>
      <c r="L203" s="19">
        <f t="shared" si="0"/>
        <v>585738.79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376993.68</v>
      </c>
      <c r="G204" s="18">
        <v>196062.94</v>
      </c>
      <c r="H204" s="18">
        <v>19233.5</v>
      </c>
      <c r="I204" s="18">
        <v>5424.28</v>
      </c>
      <c r="J204" s="18">
        <v>1261.75</v>
      </c>
      <c r="K204" s="18">
        <v>1518</v>
      </c>
      <c r="L204" s="19">
        <f t="shared" si="0"/>
        <v>600494.15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1524.2</v>
      </c>
      <c r="I205" s="18">
        <v>0</v>
      </c>
      <c r="J205" s="18">
        <v>0</v>
      </c>
      <c r="K205" s="18">
        <v>0</v>
      </c>
      <c r="L205" s="19">
        <f t="shared" si="0"/>
        <v>1524.2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245634.35</v>
      </c>
      <c r="G206" s="18">
        <v>119069.8</v>
      </c>
      <c r="H206" s="18">
        <v>141313.48000000001</v>
      </c>
      <c r="I206" s="18">
        <v>156489.14000000001</v>
      </c>
      <c r="J206" s="18">
        <v>1343.96</v>
      </c>
      <c r="K206" s="18">
        <v>103</v>
      </c>
      <c r="L206" s="19">
        <f t="shared" si="0"/>
        <v>663953.73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384284.05</v>
      </c>
      <c r="I207" s="18">
        <v>0</v>
      </c>
      <c r="J207" s="18">
        <v>0</v>
      </c>
      <c r="K207" s="18">
        <v>0</v>
      </c>
      <c r="L207" s="19">
        <f t="shared" si="0"/>
        <v>384284.05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58703</v>
      </c>
      <c r="G208" s="18">
        <v>33576.620000000003</v>
      </c>
      <c r="H208" s="18">
        <v>16377.89</v>
      </c>
      <c r="I208" s="18">
        <v>13077.45</v>
      </c>
      <c r="J208" s="18">
        <f>24610.65+1887.83</f>
        <v>26498.480000000003</v>
      </c>
      <c r="K208" s="18">
        <v>0</v>
      </c>
      <c r="L208" s="19">
        <f>SUM(F208:K208)</f>
        <v>148233.44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5598104.0499999998</v>
      </c>
      <c r="G210" s="41">
        <f t="shared" si="1"/>
        <v>2685332.5</v>
      </c>
      <c r="H210" s="41">
        <f t="shared" si="1"/>
        <v>1682686.5599999998</v>
      </c>
      <c r="I210" s="41">
        <f t="shared" si="1"/>
        <v>426228.96</v>
      </c>
      <c r="J210" s="41">
        <f t="shared" si="1"/>
        <v>100650.59000000003</v>
      </c>
      <c r="K210" s="41">
        <f t="shared" si="1"/>
        <v>4825.37</v>
      </c>
      <c r="L210" s="41">
        <f t="shared" si="1"/>
        <v>10497828.030000001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4190145.32</v>
      </c>
      <c r="G214" s="18">
        <v>1799502.22</v>
      </c>
      <c r="H214" s="18">
        <v>22780.959999999999</v>
      </c>
      <c r="I214" s="18">
        <v>98438.720000000001</v>
      </c>
      <c r="J214" s="18">
        <v>117638.43</v>
      </c>
      <c r="K214" s="18">
        <v>0</v>
      </c>
      <c r="L214" s="19">
        <f>SUM(F214:K214)</f>
        <v>6228505.6499999994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1396046.69</v>
      </c>
      <c r="G215" s="18">
        <v>840149.02</v>
      </c>
      <c r="H215" s="18">
        <v>347573.33</v>
      </c>
      <c r="I215" s="18">
        <v>4599.45</v>
      </c>
      <c r="J215" s="18">
        <v>2572.91</v>
      </c>
      <c r="K215" s="18">
        <v>0</v>
      </c>
      <c r="L215" s="19">
        <f>SUM(F215:K215)</f>
        <v>2590941.4000000004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64162</v>
      </c>
      <c r="G217" s="18">
        <v>10092.1</v>
      </c>
      <c r="H217" s="18">
        <v>5662.62</v>
      </c>
      <c r="I217" s="18">
        <v>7398.37</v>
      </c>
      <c r="J217" s="18">
        <v>0</v>
      </c>
      <c r="K217" s="18">
        <v>0</v>
      </c>
      <c r="L217" s="19">
        <f>SUM(F217:K217)</f>
        <v>87315.09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304623.19</v>
      </c>
      <c r="G219" s="18">
        <v>143536.56</v>
      </c>
      <c r="H219" s="18">
        <v>51001.11</v>
      </c>
      <c r="I219" s="18">
        <v>1470.43</v>
      </c>
      <c r="J219" s="18">
        <v>90</v>
      </c>
      <c r="K219" s="18">
        <v>0</v>
      </c>
      <c r="L219" s="19">
        <f t="shared" ref="L219:L225" si="2">SUM(F219:K219)</f>
        <v>500721.29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90006.56</v>
      </c>
      <c r="G220" s="18">
        <v>103727.57</v>
      </c>
      <c r="H220" s="18">
        <v>7472.5</v>
      </c>
      <c r="I220" s="18">
        <v>12513.52</v>
      </c>
      <c r="J220" s="18">
        <v>0</v>
      </c>
      <c r="K220" s="18">
        <v>0</v>
      </c>
      <c r="L220" s="19">
        <f t="shared" si="2"/>
        <v>213720.15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4065.99</v>
      </c>
      <c r="G221" s="18">
        <v>311.06</v>
      </c>
      <c r="H221" s="18">
        <v>578687.38</v>
      </c>
      <c r="I221" s="18">
        <v>0</v>
      </c>
      <c r="J221" s="18">
        <v>0</v>
      </c>
      <c r="K221" s="18">
        <v>2674.37</v>
      </c>
      <c r="L221" s="19">
        <f t="shared" si="2"/>
        <v>585738.80000000005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345662.7</v>
      </c>
      <c r="G222" s="18">
        <v>162690.49</v>
      </c>
      <c r="H222" s="18">
        <v>30070.880000000001</v>
      </c>
      <c r="I222" s="18">
        <v>25841.62</v>
      </c>
      <c r="J222" s="18">
        <v>17761</v>
      </c>
      <c r="K222" s="18">
        <v>1762</v>
      </c>
      <c r="L222" s="19">
        <f t="shared" si="2"/>
        <v>583788.68999999994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1156.4000000000001</v>
      </c>
      <c r="I223" s="18">
        <v>0</v>
      </c>
      <c r="J223" s="18">
        <v>0</v>
      </c>
      <c r="K223" s="18">
        <v>0</v>
      </c>
      <c r="L223" s="19">
        <f t="shared" si="2"/>
        <v>1156.4000000000001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240427.63</v>
      </c>
      <c r="G224" s="18">
        <v>133099.82</v>
      </c>
      <c r="H224" s="18">
        <v>118199.69</v>
      </c>
      <c r="I224" s="18">
        <v>194487.2</v>
      </c>
      <c r="J224" s="18">
        <v>27471.09</v>
      </c>
      <c r="K224" s="18">
        <v>103</v>
      </c>
      <c r="L224" s="19">
        <f t="shared" si="2"/>
        <v>713788.43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278317.93</v>
      </c>
      <c r="I225" s="18">
        <v>0</v>
      </c>
      <c r="J225" s="18">
        <v>0</v>
      </c>
      <c r="K225" s="18">
        <v>0</v>
      </c>
      <c r="L225" s="19">
        <f t="shared" si="2"/>
        <v>278317.93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113750</v>
      </c>
      <c r="G226" s="18">
        <v>47029.03</v>
      </c>
      <c r="H226" s="18">
        <v>18013.48</v>
      </c>
      <c r="I226" s="18">
        <v>12317.12</v>
      </c>
      <c r="J226" s="18">
        <f>26930.27+1887.85</f>
        <v>28818.12</v>
      </c>
      <c r="K226" s="18">
        <v>0</v>
      </c>
      <c r="L226" s="19">
        <f>SUM(F226:K226)</f>
        <v>219927.75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6748890.0800000001</v>
      </c>
      <c r="G228" s="41">
        <f>SUM(G214:G227)</f>
        <v>3240137.87</v>
      </c>
      <c r="H228" s="41">
        <f>SUM(H214:H227)</f>
        <v>1458936.28</v>
      </c>
      <c r="I228" s="41">
        <f>SUM(I214:I227)</f>
        <v>357066.43</v>
      </c>
      <c r="J228" s="41">
        <f>SUM(J214:J227)</f>
        <v>194351.55</v>
      </c>
      <c r="K228" s="41">
        <f t="shared" si="3"/>
        <v>4539.37</v>
      </c>
      <c r="L228" s="41">
        <f t="shared" si="3"/>
        <v>12003921.58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16900</v>
      </c>
      <c r="K254" s="18">
        <v>0</v>
      </c>
      <c r="L254" s="19">
        <f t="shared" si="6"/>
        <v>16900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16900</v>
      </c>
      <c r="K255" s="41">
        <f t="shared" si="7"/>
        <v>0</v>
      </c>
      <c r="L255" s="41">
        <f>SUM(F255:K255)</f>
        <v>16900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12346994.129999999</v>
      </c>
      <c r="G256" s="41">
        <f t="shared" si="8"/>
        <v>5925470.3700000001</v>
      </c>
      <c r="H256" s="41">
        <f t="shared" si="8"/>
        <v>3141622.84</v>
      </c>
      <c r="I256" s="41">
        <f t="shared" si="8"/>
        <v>783295.39</v>
      </c>
      <c r="J256" s="41">
        <f t="shared" si="8"/>
        <v>311902.14</v>
      </c>
      <c r="K256" s="41">
        <f t="shared" si="8"/>
        <v>9364.74</v>
      </c>
      <c r="L256" s="41">
        <f t="shared" si="8"/>
        <v>22518649.609999999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385000</v>
      </c>
      <c r="L259" s="19">
        <f>SUM(F259:K259)</f>
        <v>385000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214938.76</v>
      </c>
      <c r="L260" s="19">
        <f>SUM(F260:K260)</f>
        <v>214938.76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60000</v>
      </c>
      <c r="L265" s="19">
        <f t="shared" si="9"/>
        <v>60000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659938.76</v>
      </c>
      <c r="L269" s="41">
        <f t="shared" si="9"/>
        <v>659938.76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12346994.129999999</v>
      </c>
      <c r="G270" s="42">
        <f t="shared" si="11"/>
        <v>5925470.3700000001</v>
      </c>
      <c r="H270" s="42">
        <f t="shared" si="11"/>
        <v>3141622.84</v>
      </c>
      <c r="I270" s="42">
        <f t="shared" si="11"/>
        <v>783295.39</v>
      </c>
      <c r="J270" s="42">
        <f t="shared" si="11"/>
        <v>311902.14</v>
      </c>
      <c r="K270" s="42">
        <f t="shared" si="11"/>
        <v>669303.5</v>
      </c>
      <c r="L270" s="42">
        <f t="shared" si="11"/>
        <v>23178588.370000001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13610.4</v>
      </c>
      <c r="G275" s="18">
        <v>2579.04</v>
      </c>
      <c r="H275" s="18">
        <v>18635.16</v>
      </c>
      <c r="I275" s="18">
        <v>43</v>
      </c>
      <c r="J275" s="18">
        <v>315.92</v>
      </c>
      <c r="K275" s="18">
        <v>0</v>
      </c>
      <c r="L275" s="19">
        <f>SUM(F275:K275)</f>
        <v>35183.519999999997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60000</v>
      </c>
      <c r="G276" s="18">
        <v>11523.94</v>
      </c>
      <c r="H276" s="18">
        <v>5802.76</v>
      </c>
      <c r="I276" s="18">
        <v>21001.22</v>
      </c>
      <c r="J276" s="18">
        <v>8712.6200000000008</v>
      </c>
      <c r="K276" s="18">
        <v>0</v>
      </c>
      <c r="L276" s="19">
        <f>SUM(F276:K276)</f>
        <v>107040.54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22489.89</v>
      </c>
      <c r="G281" s="18">
        <v>4276.6000000000004</v>
      </c>
      <c r="H281" s="18">
        <v>39541.29</v>
      </c>
      <c r="I281" s="18">
        <v>253.82</v>
      </c>
      <c r="J281" s="18">
        <v>0</v>
      </c>
      <c r="K281" s="18">
        <v>0</v>
      </c>
      <c r="L281" s="19">
        <f t="shared" si="12"/>
        <v>66561.600000000006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615</v>
      </c>
      <c r="I287" s="18"/>
      <c r="J287" s="18"/>
      <c r="K287" s="18"/>
      <c r="L287" s="19">
        <f>SUM(F287:K287)</f>
        <v>615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96100.29</v>
      </c>
      <c r="G289" s="42">
        <f t="shared" si="13"/>
        <v>18379.580000000002</v>
      </c>
      <c r="H289" s="42">
        <f t="shared" si="13"/>
        <v>64594.21</v>
      </c>
      <c r="I289" s="42">
        <f t="shared" si="13"/>
        <v>21298.04</v>
      </c>
      <c r="J289" s="42">
        <f t="shared" si="13"/>
        <v>9028.5400000000009</v>
      </c>
      <c r="K289" s="42">
        <f t="shared" si="13"/>
        <v>0</v>
      </c>
      <c r="L289" s="41">
        <f t="shared" si="13"/>
        <v>209400.66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23352.9</v>
      </c>
      <c r="G294" s="18">
        <v>4425.53</v>
      </c>
      <c r="H294" s="18">
        <v>3043.25</v>
      </c>
      <c r="I294" s="18">
        <v>57</v>
      </c>
      <c r="J294" s="18">
        <v>13180.08</v>
      </c>
      <c r="K294" s="18">
        <v>0</v>
      </c>
      <c r="L294" s="19">
        <f>SUM(F294:K294)</f>
        <v>44058.76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130210.69</v>
      </c>
      <c r="G295" s="18">
        <v>22824.1</v>
      </c>
      <c r="H295" s="18">
        <v>14535.86</v>
      </c>
      <c r="I295" s="18">
        <v>5470.96</v>
      </c>
      <c r="J295" s="18">
        <v>10720.16</v>
      </c>
      <c r="K295" s="18">
        <v>0</v>
      </c>
      <c r="L295" s="19">
        <f>SUM(F295:K295)</f>
        <v>183761.77000000002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23756.28</v>
      </c>
      <c r="G300" s="18">
        <v>4494.76</v>
      </c>
      <c r="H300" s="18">
        <v>32734.73</v>
      </c>
      <c r="I300" s="18">
        <v>30</v>
      </c>
      <c r="J300" s="18">
        <v>0</v>
      </c>
      <c r="K300" s="18">
        <v>0</v>
      </c>
      <c r="L300" s="19">
        <f t="shared" si="14"/>
        <v>61015.770000000004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>
        <v>2440</v>
      </c>
      <c r="I306" s="18"/>
      <c r="J306" s="18"/>
      <c r="K306" s="18"/>
      <c r="L306" s="19">
        <f>SUM(F306:K306)</f>
        <v>2440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177319.87</v>
      </c>
      <c r="G308" s="42">
        <f t="shared" si="15"/>
        <v>31744.39</v>
      </c>
      <c r="H308" s="42">
        <f t="shared" si="15"/>
        <v>52753.84</v>
      </c>
      <c r="I308" s="42">
        <f t="shared" si="15"/>
        <v>5557.96</v>
      </c>
      <c r="J308" s="42">
        <f t="shared" si="15"/>
        <v>23900.239999999998</v>
      </c>
      <c r="K308" s="42">
        <f t="shared" si="15"/>
        <v>0</v>
      </c>
      <c r="L308" s="41">
        <f t="shared" si="15"/>
        <v>291276.30000000005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273420.15999999997</v>
      </c>
      <c r="G337" s="41">
        <f t="shared" si="20"/>
        <v>50123.97</v>
      </c>
      <c r="H337" s="41">
        <f t="shared" si="20"/>
        <v>117348.04999999999</v>
      </c>
      <c r="I337" s="41">
        <f t="shared" si="20"/>
        <v>26856</v>
      </c>
      <c r="J337" s="41">
        <f t="shared" si="20"/>
        <v>32928.78</v>
      </c>
      <c r="K337" s="41">
        <f t="shared" si="20"/>
        <v>0</v>
      </c>
      <c r="L337" s="41">
        <f t="shared" si="20"/>
        <v>500676.96000000008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273420.15999999997</v>
      </c>
      <c r="G351" s="41">
        <f>G337</f>
        <v>50123.97</v>
      </c>
      <c r="H351" s="41">
        <f>H337</f>
        <v>117348.04999999999</v>
      </c>
      <c r="I351" s="41">
        <f>I337</f>
        <v>26856</v>
      </c>
      <c r="J351" s="41">
        <f>J337</f>
        <v>32928.78</v>
      </c>
      <c r="K351" s="47">
        <f>K337+K350</f>
        <v>0</v>
      </c>
      <c r="L351" s="41">
        <f>L337+L350</f>
        <v>500676.96000000008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61503.43</v>
      </c>
      <c r="G357" s="18">
        <v>44737.09</v>
      </c>
      <c r="H357" s="18">
        <v>2171.91</v>
      </c>
      <c r="I357" s="18">
        <v>52842.11</v>
      </c>
      <c r="J357" s="18">
        <v>0</v>
      </c>
      <c r="K357" s="18">
        <v>0</v>
      </c>
      <c r="L357" s="13">
        <f>SUM(F357:K357)</f>
        <v>161254.53999999998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105481.21</v>
      </c>
      <c r="G358" s="18">
        <v>77596.97</v>
      </c>
      <c r="H358" s="18">
        <v>2851.71</v>
      </c>
      <c r="I358" s="18">
        <v>99592.52</v>
      </c>
      <c r="J358" s="18">
        <v>12103.63</v>
      </c>
      <c r="K358" s="18">
        <v>0</v>
      </c>
      <c r="L358" s="19">
        <f>SUM(F358:K358)</f>
        <v>297626.03999999998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166984.64000000001</v>
      </c>
      <c r="G361" s="47">
        <f t="shared" si="22"/>
        <v>122334.06</v>
      </c>
      <c r="H361" s="47">
        <f t="shared" si="22"/>
        <v>5023.62</v>
      </c>
      <c r="I361" s="47">
        <f t="shared" si="22"/>
        <v>152434.63</v>
      </c>
      <c r="J361" s="47">
        <f t="shared" si="22"/>
        <v>12103.63</v>
      </c>
      <c r="K361" s="47">
        <f t="shared" si="22"/>
        <v>0</v>
      </c>
      <c r="L361" s="47">
        <f t="shared" si="22"/>
        <v>458880.57999999996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49214.85</v>
      </c>
      <c r="G366" s="18">
        <v>93014.54</v>
      </c>
      <c r="H366" s="18"/>
      <c r="I366" s="56">
        <f>SUM(F366:H366)</f>
        <v>142229.38999999998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3627.26</v>
      </c>
      <c r="G367" s="63">
        <v>6577.98</v>
      </c>
      <c r="H367" s="63"/>
      <c r="I367" s="56">
        <f>SUM(F367:H367)</f>
        <v>10205.24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52842.11</v>
      </c>
      <c r="G368" s="47">
        <f>SUM(G366:G367)</f>
        <v>99592.51999999999</v>
      </c>
      <c r="H368" s="47">
        <f>SUM(H366:H367)</f>
        <v>0</v>
      </c>
      <c r="I368" s="47">
        <f>SUM(I366:I367)</f>
        <v>152434.62999999998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60000</v>
      </c>
      <c r="H395" s="18">
        <v>80.53</v>
      </c>
      <c r="I395" s="18"/>
      <c r="J395" s="24" t="s">
        <v>289</v>
      </c>
      <c r="K395" s="24" t="s">
        <v>289</v>
      </c>
      <c r="L395" s="56">
        <f t="shared" si="26"/>
        <v>60080.53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80.53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60080.53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>
        <f>5703.47+5313.56</f>
        <v>11017.03</v>
      </c>
      <c r="J402" s="24" t="s">
        <v>289</v>
      </c>
      <c r="K402" s="24" t="s">
        <v>289</v>
      </c>
      <c r="L402" s="56">
        <f>SUM(F402:K402)</f>
        <v>11017.03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11017.03</v>
      </c>
      <c r="J406" s="49" t="s">
        <v>289</v>
      </c>
      <c r="K406" s="49" t="s">
        <v>289</v>
      </c>
      <c r="L406" s="47">
        <f>SUM(L402:L405)</f>
        <v>11017.03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60000</v>
      </c>
      <c r="H407" s="47">
        <f>H392+H400+H406</f>
        <v>80.53</v>
      </c>
      <c r="I407" s="47">
        <f>I392+I400+I406</f>
        <v>11017.03</v>
      </c>
      <c r="J407" s="24" t="s">
        <v>289</v>
      </c>
      <c r="K407" s="24" t="s">
        <v>289</v>
      </c>
      <c r="L407" s="47">
        <f>L392+L400+L406</f>
        <v>71097.56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>
        <v>82997</v>
      </c>
      <c r="I413" s="18"/>
      <c r="J413" s="18"/>
      <c r="K413" s="18"/>
      <c r="L413" s="56">
        <f t="shared" si="27"/>
        <v>82997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82997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82997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f>1447.96+3000</f>
        <v>4447.96</v>
      </c>
      <c r="G420" s="18">
        <f>89.77+172.05+21+40.22+201.99+305.1+9.65</f>
        <v>839.78</v>
      </c>
      <c r="H420" s="18">
        <v>4494.84</v>
      </c>
      <c r="I420" s="18"/>
      <c r="J420" s="18"/>
      <c r="K420" s="18">
        <f>4531.09+527.99+22+0.24+0.07</f>
        <v>5081.3899999999994</v>
      </c>
      <c r="L420" s="56">
        <f t="shared" ref="L420:L425" si="29">SUM(F420:K420)</f>
        <v>14863.97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4447.96</v>
      </c>
      <c r="G426" s="47">
        <f t="shared" si="30"/>
        <v>839.78</v>
      </c>
      <c r="H426" s="47">
        <f t="shared" si="30"/>
        <v>4494.84</v>
      </c>
      <c r="I426" s="47">
        <f t="shared" si="30"/>
        <v>0</v>
      </c>
      <c r="J426" s="47">
        <f t="shared" si="30"/>
        <v>0</v>
      </c>
      <c r="K426" s="47">
        <f t="shared" si="30"/>
        <v>5081.3899999999994</v>
      </c>
      <c r="L426" s="47">
        <f t="shared" si="30"/>
        <v>14863.97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4447.96</v>
      </c>
      <c r="G433" s="47">
        <f t="shared" si="32"/>
        <v>839.78</v>
      </c>
      <c r="H433" s="47">
        <f t="shared" si="32"/>
        <v>87491.839999999997</v>
      </c>
      <c r="I433" s="47">
        <f t="shared" si="32"/>
        <v>0</v>
      </c>
      <c r="J433" s="47">
        <f t="shared" si="32"/>
        <v>0</v>
      </c>
      <c r="K433" s="47">
        <f t="shared" si="32"/>
        <v>5081.3899999999994</v>
      </c>
      <c r="L433" s="47">
        <f t="shared" si="32"/>
        <v>97860.97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>
        <v>36.979999999999997</v>
      </c>
      <c r="I440" s="56">
        <f t="shared" si="33"/>
        <v>36.979999999999997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16527.71</v>
      </c>
      <c r="H441" s="18"/>
      <c r="I441" s="56">
        <f t="shared" si="33"/>
        <v>16527.71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16527.71</v>
      </c>
      <c r="H445" s="13">
        <f>SUM(H438:H444)</f>
        <v>36.979999999999997</v>
      </c>
      <c r="I445" s="13">
        <f>SUM(I438:I444)</f>
        <v>16564.689999999999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292.52</v>
      </c>
      <c r="H447" s="18"/>
      <c r="I447" s="56">
        <f>SUM(F447:H447)</f>
        <v>292.52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292.52</v>
      </c>
      <c r="H451" s="72">
        <f>SUM(H447:H450)</f>
        <v>0</v>
      </c>
      <c r="I451" s="72">
        <f>SUM(I447:I450)</f>
        <v>292.52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39151.66-22916.47</f>
        <v>16235.190000000002</v>
      </c>
      <c r="H458" s="18">
        <f>11.16+25.82</f>
        <v>36.980000000000004</v>
      </c>
      <c r="I458" s="56">
        <f t="shared" si="34"/>
        <v>16272.170000000002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16235.190000000002</v>
      </c>
      <c r="H459" s="83">
        <f>SUM(H453:H458)</f>
        <v>36.980000000000004</v>
      </c>
      <c r="I459" s="83">
        <f>SUM(I453:I458)</f>
        <v>16272.170000000002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16527.710000000003</v>
      </c>
      <c r="H460" s="42">
        <f>H451+H459</f>
        <v>36.980000000000004</v>
      </c>
      <c r="I460" s="42">
        <f>I451+I459</f>
        <v>16564.690000000002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312177.26</v>
      </c>
      <c r="G464" s="18">
        <v>71870.47</v>
      </c>
      <c r="H464" s="18">
        <v>0</v>
      </c>
      <c r="I464" s="18">
        <v>30.84</v>
      </c>
      <c r="J464" s="18">
        <v>43035.58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23123755.67+93087.3</f>
        <v>23216842.970000003</v>
      </c>
      <c r="G467" s="18">
        <v>457539.65</v>
      </c>
      <c r="H467" s="18">
        <v>500676.96</v>
      </c>
      <c r="I467" s="18">
        <v>0.05</v>
      </c>
      <c r="J467" s="18">
        <f>80.53+5703.47+5313.56+60000</f>
        <v>71097.56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250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23217092.970000003</v>
      </c>
      <c r="G469" s="53">
        <f>SUM(G467:G468)</f>
        <v>457539.65</v>
      </c>
      <c r="H469" s="53">
        <f>SUM(H467:H468)</f>
        <v>500676.96</v>
      </c>
      <c r="I469" s="53">
        <f>SUM(I467:I468)</f>
        <v>0.05</v>
      </c>
      <c r="J469" s="53">
        <f>SUM(J467:J468)</f>
        <v>71097.56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23101542.78+77045.59</f>
        <v>23178588.370000001</v>
      </c>
      <c r="G471" s="18">
        <v>458880.58</v>
      </c>
      <c r="H471" s="18">
        <v>500676.96</v>
      </c>
      <c r="I471" s="18">
        <v>0</v>
      </c>
      <c r="J471" s="18">
        <f>82997+9576.23+5287.74</f>
        <v>97860.97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22352.5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23200940.870000001</v>
      </c>
      <c r="G473" s="53">
        <f>SUM(G471:G472)</f>
        <v>458880.58</v>
      </c>
      <c r="H473" s="53">
        <f>SUM(H471:H472)</f>
        <v>500676.96</v>
      </c>
      <c r="I473" s="53">
        <f>SUM(I471:I472)</f>
        <v>0</v>
      </c>
      <c r="J473" s="53">
        <f>SUM(J471:J472)</f>
        <v>97860.97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328329.36000000313</v>
      </c>
      <c r="G475" s="53">
        <f>(G464+G469)- G473</f>
        <v>70529.539999999979</v>
      </c>
      <c r="H475" s="53">
        <f>(H464+H469)- H473</f>
        <v>0</v>
      </c>
      <c r="I475" s="53">
        <f>(I464+I469)- I473</f>
        <v>30.89</v>
      </c>
      <c r="J475" s="53">
        <f>(J464+J469)- J473</f>
        <v>16272.169999999998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3799000</v>
      </c>
      <c r="G492" s="18">
        <v>3883620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4.25</v>
      </c>
      <c r="G493" s="18">
        <v>4.24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1900000</v>
      </c>
      <c r="G494" s="18">
        <v>3495000</v>
      </c>
      <c r="H494" s="18"/>
      <c r="I494" s="18"/>
      <c r="J494" s="18"/>
      <c r="K494" s="53">
        <f>SUM(F494:J494)</f>
        <v>5395000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190000</v>
      </c>
      <c r="G496" s="18">
        <v>195000</v>
      </c>
      <c r="H496" s="18"/>
      <c r="I496" s="18"/>
      <c r="J496" s="18"/>
      <c r="K496" s="53">
        <f t="shared" si="35"/>
        <v>385000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1717000</v>
      </c>
      <c r="G497" s="205">
        <v>3300000</v>
      </c>
      <c r="H497" s="205"/>
      <c r="I497" s="205"/>
      <c r="J497" s="205"/>
      <c r="K497" s="206">
        <f t="shared" si="35"/>
        <v>5017000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275607.67</v>
      </c>
      <c r="G498" s="18">
        <v>1263709.5</v>
      </c>
      <c r="H498" s="18"/>
      <c r="I498" s="18"/>
      <c r="J498" s="18"/>
      <c r="K498" s="53">
        <f t="shared" si="35"/>
        <v>1539317.17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1992607.67</v>
      </c>
      <c r="G499" s="42">
        <f>SUM(G497:G498)</f>
        <v>4563709.5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6556317.1699999999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12000</v>
      </c>
      <c r="G500" s="205">
        <v>195000</v>
      </c>
      <c r="H500" s="205"/>
      <c r="I500" s="205"/>
      <c r="J500" s="205"/>
      <c r="K500" s="206">
        <f t="shared" si="35"/>
        <v>207000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61232.67</v>
      </c>
      <c r="G501" s="18">
        <v>150943.76</v>
      </c>
      <c r="H501" s="18"/>
      <c r="I501" s="18"/>
      <c r="J501" s="18"/>
      <c r="K501" s="53">
        <f t="shared" si="35"/>
        <v>212176.43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73232.67</v>
      </c>
      <c r="G502" s="42">
        <f>SUM(G500:G501)</f>
        <v>345943.76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419176.43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936573.79+60000</f>
        <v>996573.79</v>
      </c>
      <c r="G520" s="18">
        <f>461551.53+11523.94</f>
        <v>473075.47000000003</v>
      </c>
      <c r="H520" s="18">
        <v>181528.91</v>
      </c>
      <c r="I520" s="18">
        <v>30037.25</v>
      </c>
      <c r="J520" s="18">
        <v>14526.68</v>
      </c>
      <c r="K520" s="18"/>
      <c r="L520" s="88">
        <f>SUM(F520:K520)</f>
        <v>1695742.0999999999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1304690.2+130210.69</f>
        <v>1434900.89</v>
      </c>
      <c r="G521" s="18">
        <f>808383.48+22824.1</f>
        <v>831207.58</v>
      </c>
      <c r="H521" s="18">
        <v>117238.86</v>
      </c>
      <c r="I521" s="18">
        <v>7640.97</v>
      </c>
      <c r="J521" s="18">
        <v>13293.07</v>
      </c>
      <c r="K521" s="18"/>
      <c r="L521" s="88">
        <f>SUM(F521:K521)</f>
        <v>2404281.3699999996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2431474.6799999997</v>
      </c>
      <c r="G523" s="108">
        <f t="shared" ref="G523:L523" si="36">SUM(G520:G522)</f>
        <v>1304283.05</v>
      </c>
      <c r="H523" s="108">
        <f t="shared" si="36"/>
        <v>298767.77</v>
      </c>
      <c r="I523" s="108">
        <f t="shared" si="36"/>
        <v>37678.22</v>
      </c>
      <c r="J523" s="108">
        <f t="shared" si="36"/>
        <v>27819.75</v>
      </c>
      <c r="K523" s="108">
        <f t="shared" si="36"/>
        <v>0</v>
      </c>
      <c r="L523" s="89">
        <f t="shared" si="36"/>
        <v>4100023.4699999997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160452.1</v>
      </c>
      <c r="G525" s="18">
        <f>49079.34+31281.33</f>
        <v>80360.67</v>
      </c>
      <c r="H525" s="18">
        <v>325825.11</v>
      </c>
      <c r="I525" s="18"/>
      <c r="J525" s="18"/>
      <c r="K525" s="18"/>
      <c r="L525" s="88">
        <f>SUM(F525:K525)</f>
        <v>566637.88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55449.29</v>
      </c>
      <c r="G526" s="18">
        <v>9517.51</v>
      </c>
      <c r="H526" s="18">
        <v>236302.28</v>
      </c>
      <c r="I526" s="18"/>
      <c r="J526" s="18"/>
      <c r="K526" s="18"/>
      <c r="L526" s="88">
        <f>SUM(F526:K526)</f>
        <v>301269.08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215901.39</v>
      </c>
      <c r="G528" s="89">
        <f t="shared" ref="G528:L528" si="37">SUM(G525:G527)</f>
        <v>89878.18</v>
      </c>
      <c r="H528" s="89">
        <f t="shared" si="37"/>
        <v>562127.39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867906.96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32243.200000000001</v>
      </c>
      <c r="G530" s="18">
        <v>15889.72</v>
      </c>
      <c r="H530" s="18">
        <f>170.27+5436.16</f>
        <v>5606.43</v>
      </c>
      <c r="I530" s="18">
        <v>3885.46</v>
      </c>
      <c r="J530" s="18">
        <v>0</v>
      </c>
      <c r="K530" s="18">
        <v>530</v>
      </c>
      <c r="L530" s="88">
        <f>SUM(F530:K530)</f>
        <v>58154.81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35907.199999999997</v>
      </c>
      <c r="G531" s="18">
        <v>22248.03</v>
      </c>
      <c r="H531" s="18">
        <v>8568.0499999999993</v>
      </c>
      <c r="I531" s="18">
        <v>2429.44</v>
      </c>
      <c r="J531" s="18"/>
      <c r="K531" s="18"/>
      <c r="L531" s="88">
        <f>SUM(F531:K531)</f>
        <v>69152.72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68150.399999999994</v>
      </c>
      <c r="G533" s="89">
        <f t="shared" ref="G533:L533" si="38">SUM(G530:G532)</f>
        <v>38137.75</v>
      </c>
      <c r="H533" s="89">
        <f t="shared" si="38"/>
        <v>14174.48</v>
      </c>
      <c r="I533" s="89">
        <f t="shared" si="38"/>
        <v>6314.9</v>
      </c>
      <c r="J533" s="89">
        <f t="shared" si="38"/>
        <v>0</v>
      </c>
      <c r="K533" s="89">
        <f t="shared" si="38"/>
        <v>530</v>
      </c>
      <c r="L533" s="89">
        <f t="shared" si="38"/>
        <v>127307.53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63242.400000000001</v>
      </c>
      <c r="I540" s="18"/>
      <c r="J540" s="18"/>
      <c r="K540" s="18"/>
      <c r="L540" s="88">
        <f>SUM(F540:K540)</f>
        <v>63242.400000000001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89802.06</v>
      </c>
      <c r="I541" s="18"/>
      <c r="J541" s="18"/>
      <c r="K541" s="18"/>
      <c r="L541" s="88">
        <f>SUM(F541:K541)</f>
        <v>89802.06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153044.46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153044.46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2715526.4699999997</v>
      </c>
      <c r="G544" s="89">
        <f t="shared" ref="G544:L544" si="41">G523+G528+G533+G538+G543</f>
        <v>1432298.98</v>
      </c>
      <c r="H544" s="89">
        <f t="shared" si="41"/>
        <v>1028114.1</v>
      </c>
      <c r="I544" s="89">
        <f t="shared" si="41"/>
        <v>43993.120000000003</v>
      </c>
      <c r="J544" s="89">
        <f t="shared" si="41"/>
        <v>27819.75</v>
      </c>
      <c r="K544" s="89">
        <f t="shared" si="41"/>
        <v>530</v>
      </c>
      <c r="L544" s="89">
        <f t="shared" si="41"/>
        <v>5248282.42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1695742.0999999999</v>
      </c>
      <c r="G548" s="87">
        <f>L525</f>
        <v>566637.88</v>
      </c>
      <c r="H548" s="87">
        <f>L530</f>
        <v>58154.81</v>
      </c>
      <c r="I548" s="87">
        <f>L535</f>
        <v>0</v>
      </c>
      <c r="J548" s="87">
        <f>L540</f>
        <v>63242.400000000001</v>
      </c>
      <c r="K548" s="87">
        <f>SUM(F548:J548)</f>
        <v>2383777.19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2404281.3699999996</v>
      </c>
      <c r="G549" s="87">
        <f>L526</f>
        <v>301269.08</v>
      </c>
      <c r="H549" s="87">
        <f>L531</f>
        <v>69152.72</v>
      </c>
      <c r="I549" s="87">
        <f>L536</f>
        <v>0</v>
      </c>
      <c r="J549" s="87">
        <f>L541</f>
        <v>89802.06</v>
      </c>
      <c r="K549" s="87">
        <f>SUM(F549:J549)</f>
        <v>2864505.23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4100023.4699999997</v>
      </c>
      <c r="G551" s="89">
        <f t="shared" si="42"/>
        <v>867906.96</v>
      </c>
      <c r="H551" s="89">
        <f t="shared" si="42"/>
        <v>127307.53</v>
      </c>
      <c r="I551" s="89">
        <f t="shared" si="42"/>
        <v>0</v>
      </c>
      <c r="J551" s="89">
        <f t="shared" si="42"/>
        <v>153044.46</v>
      </c>
      <c r="K551" s="89">
        <f t="shared" si="42"/>
        <v>5248282.42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49978.05</v>
      </c>
      <c r="G581" s="18">
        <v>87053</v>
      </c>
      <c r="H581" s="18"/>
      <c r="I581" s="87">
        <f t="shared" si="47"/>
        <v>137031.04999999999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320213</v>
      </c>
      <c r="I590" s="18">
        <v>179719</v>
      </c>
      <c r="J590" s="18"/>
      <c r="K590" s="104">
        <f t="shared" ref="K590:K596" si="48">SUM(H590:J590)</f>
        <v>499932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63242.400000000001</v>
      </c>
      <c r="I591" s="18">
        <v>89802.06</v>
      </c>
      <c r="J591" s="18"/>
      <c r="K591" s="104">
        <f t="shared" si="48"/>
        <v>153044.46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8796.8700000000008</v>
      </c>
      <c r="J593" s="18"/>
      <c r="K593" s="104">
        <f t="shared" si="48"/>
        <v>8796.8700000000008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828.65</v>
      </c>
      <c r="I594" s="18"/>
      <c r="J594" s="18"/>
      <c r="K594" s="104">
        <f t="shared" si="48"/>
        <v>828.65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384284.05000000005</v>
      </c>
      <c r="I597" s="108">
        <f>SUM(I590:I596)</f>
        <v>278317.93</v>
      </c>
      <c r="J597" s="108">
        <f>SUM(J590:J596)</f>
        <v>0</v>
      </c>
      <c r="K597" s="108">
        <f>SUM(K590:K596)</f>
        <v>662601.98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109679.16</v>
      </c>
      <c r="I603" s="18">
        <v>218251.76</v>
      </c>
      <c r="J603" s="18"/>
      <c r="K603" s="104">
        <f>SUM(H603:J603)</f>
        <v>327930.92000000004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109679.16</v>
      </c>
      <c r="I604" s="108">
        <f>SUM(I601:I603)</f>
        <v>218251.76</v>
      </c>
      <c r="J604" s="108">
        <f>SUM(J601:J603)</f>
        <v>0</v>
      </c>
      <c r="K604" s="108">
        <f>SUM(K601:K603)</f>
        <v>327930.92000000004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483063.73000000004</v>
      </c>
      <c r="H616" s="109">
        <f>SUM(F51)</f>
        <v>483063.73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78108.899999999994</v>
      </c>
      <c r="H617" s="109">
        <f>SUM(G51)</f>
        <v>78108.899999999994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156040.82999999999</v>
      </c>
      <c r="H618" s="109">
        <f>SUM(H51)</f>
        <v>156040.83000000002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30.89</v>
      </c>
      <c r="H619" s="109">
        <f>SUM(I51)</f>
        <v>30.89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16564.689999999999</v>
      </c>
      <c r="H620" s="109">
        <f>SUM(J51)</f>
        <v>16564.690000000002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328329.36</v>
      </c>
      <c r="H621" s="109">
        <f>F475</f>
        <v>328329.36000000313</v>
      </c>
      <c r="I621" s="121" t="s">
        <v>101</v>
      </c>
      <c r="J621" s="109">
        <f t="shared" ref="J621:J654" si="50">G621-H621</f>
        <v>-3.14321368932724E-9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70529.539999999994</v>
      </c>
      <c r="H622" s="109">
        <f>G475</f>
        <v>70529.539999999979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30.89</v>
      </c>
      <c r="H624" s="109">
        <f>I475</f>
        <v>30.89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16272.170000000002</v>
      </c>
      <c r="H625" s="109">
        <f>J475</f>
        <v>16272.169999999998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23216842.970000003</v>
      </c>
      <c r="H626" s="104">
        <f>SUM(F467)</f>
        <v>23216842.970000003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457539.65</v>
      </c>
      <c r="H627" s="104">
        <f>SUM(G467)</f>
        <v>457539.65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500676.96</v>
      </c>
      <c r="H628" s="104">
        <f>SUM(H467)</f>
        <v>500676.96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0.05</v>
      </c>
      <c r="H629" s="104">
        <f>SUM(I467)</f>
        <v>0.05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71097.56</v>
      </c>
      <c r="H630" s="104">
        <f>SUM(J467)</f>
        <v>71097.56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23178588.370000001</v>
      </c>
      <c r="H631" s="104">
        <f>SUM(F471)</f>
        <v>23178588.370000001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500676.96000000008</v>
      </c>
      <c r="H632" s="104">
        <f>SUM(H471)</f>
        <v>500676.96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152434.63</v>
      </c>
      <c r="H633" s="104">
        <f>I368</f>
        <v>152434.62999999998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458880.57999999996</v>
      </c>
      <c r="H634" s="104">
        <f>SUM(G471)</f>
        <v>458880.58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71097.56</v>
      </c>
      <c r="H636" s="164">
        <f>SUM(J467)</f>
        <v>71097.56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97860.97</v>
      </c>
      <c r="H637" s="164">
        <f>SUM(J471)</f>
        <v>97860.97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16527.71</v>
      </c>
      <c r="H639" s="104">
        <f>SUM(G460)</f>
        <v>16527.710000000003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36.979999999999997</v>
      </c>
      <c r="H640" s="104">
        <f>SUM(H460)</f>
        <v>36.980000000000004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16564.689999999999</v>
      </c>
      <c r="H641" s="104">
        <f>SUM(I460)</f>
        <v>16564.690000000002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80.53</v>
      </c>
      <c r="H643" s="104">
        <f>H407</f>
        <v>80.53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60000</v>
      </c>
      <c r="H644" s="104">
        <f>G407</f>
        <v>60000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71097.56</v>
      </c>
      <c r="H645" s="104">
        <f>L407</f>
        <v>71097.56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662601.98</v>
      </c>
      <c r="H646" s="104">
        <f>L207+L225+L243</f>
        <v>662601.98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327930.92000000004</v>
      </c>
      <c r="H647" s="104">
        <f>(J256+J337)-(J254+J335)</f>
        <v>327930.92000000004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384284.05</v>
      </c>
      <c r="H648" s="104">
        <f>H597</f>
        <v>384284.05000000005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278317.93</v>
      </c>
      <c r="H649" s="104">
        <f>I597</f>
        <v>278317.93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60000</v>
      </c>
      <c r="H654" s="104">
        <f>K265+K346</f>
        <v>60000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10868483.23</v>
      </c>
      <c r="G659" s="19">
        <f>(L228+L308+L358)</f>
        <v>12592823.92</v>
      </c>
      <c r="H659" s="19">
        <f>(L246+L327+L359)</f>
        <v>0</v>
      </c>
      <c r="I659" s="19">
        <f>SUM(F659:H659)</f>
        <v>23461307.149999999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132993.32600622586</v>
      </c>
      <c r="G660" s="19">
        <f>(L358/IF(SUM(L357:L359)=0,1,SUM(L357:L359))*(SUM(G96:G109)))</f>
        <v>245464.57399377416</v>
      </c>
      <c r="H660" s="19">
        <f>(L359/IF(SUM(L357:L359)=0,1,SUM(L357:L359))*(SUM(G96:G109)))</f>
        <v>0</v>
      </c>
      <c r="I660" s="19">
        <f>SUM(F660:H660)</f>
        <v>378457.9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384284.05</v>
      </c>
      <c r="G661" s="19">
        <f>(L225+L305)-(J225+J305)</f>
        <v>278317.93</v>
      </c>
      <c r="H661" s="19">
        <f>(L243+L324)-(J243+J324)</f>
        <v>0</v>
      </c>
      <c r="I661" s="19">
        <f>SUM(F661:H661)</f>
        <v>662601.98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159657.21000000002</v>
      </c>
      <c r="G662" s="200">
        <f>SUM(G574:G586)+SUM(I601:I603)+L611</f>
        <v>305304.76</v>
      </c>
      <c r="H662" s="200">
        <f>SUM(H574:H586)+SUM(J601:J603)+L612</f>
        <v>0</v>
      </c>
      <c r="I662" s="19">
        <f>SUM(F662:H662)</f>
        <v>464961.97000000003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10191548.643993774</v>
      </c>
      <c r="G663" s="19">
        <f>G659-SUM(G660:G662)</f>
        <v>11763736.656006226</v>
      </c>
      <c r="H663" s="19">
        <f>H659-SUM(H660:H662)</f>
        <v>0</v>
      </c>
      <c r="I663" s="19">
        <f>I659-SUM(I660:I662)</f>
        <v>21955285.299999997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567.89</v>
      </c>
      <c r="G664" s="249">
        <v>757.16</v>
      </c>
      <c r="H664" s="249"/>
      <c r="I664" s="19">
        <f>SUM(F664:H664)</f>
        <v>1325.05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17946.34</v>
      </c>
      <c r="G666" s="19">
        <f>ROUND(G663/G664,2)</f>
        <v>15536.66</v>
      </c>
      <c r="H666" s="19" t="e">
        <f>ROUND(H663/H664,2)</f>
        <v>#DIV/0!</v>
      </c>
      <c r="I666" s="19">
        <f>ROUND(I663/I664,2)</f>
        <v>16569.400000000001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17946.34</v>
      </c>
      <c r="G671" s="19">
        <f>ROUND((G663+G668)/(G664+G669),2)</f>
        <v>15536.66</v>
      </c>
      <c r="H671" s="19" t="e">
        <f>ROUND((H663+H668)/(H664+H669),2)</f>
        <v>#DIV/0!</v>
      </c>
      <c r="I671" s="19">
        <f>ROUND((I663+I668)/(I664+I669),2)</f>
        <v>16569.400000000001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1" workbookViewId="0">
      <selection activeCell="F29" sqref="F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Amherst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7550163.3900000006</v>
      </c>
      <c r="C9" s="230">
        <f>'DOE25'!G196+'DOE25'!G214+'DOE25'!G232+'DOE25'!G275+'DOE25'!G294+'DOE25'!G313</f>
        <v>3362792.13</v>
      </c>
    </row>
    <row r="10" spans="1:3" x14ac:dyDescent="0.2">
      <c r="A10" t="s">
        <v>779</v>
      </c>
      <c r="B10" s="241">
        <f>6887562.14+305666.85</f>
        <v>7193228.9899999993</v>
      </c>
      <c r="C10" s="241">
        <f>3067673.98+145854.8</f>
        <v>3213528.78</v>
      </c>
    </row>
    <row r="11" spans="1:3" x14ac:dyDescent="0.2">
      <c r="A11" t="s">
        <v>780</v>
      </c>
      <c r="B11" s="241">
        <v>317006.68</v>
      </c>
      <c r="C11" s="241">
        <v>141192.65</v>
      </c>
    </row>
    <row r="12" spans="1:3" x14ac:dyDescent="0.2">
      <c r="A12" t="s">
        <v>781</v>
      </c>
      <c r="B12" s="241">
        <f>345594.57-305666.85</f>
        <v>39927.72000000003</v>
      </c>
      <c r="C12" s="241">
        <v>8070.7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7550163.3899999987</v>
      </c>
      <c r="C13" s="232">
        <f>SUM(C10:C12)</f>
        <v>3362792.13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2715526.47</v>
      </c>
      <c r="C18" s="230">
        <f>'DOE25'!G197+'DOE25'!G215+'DOE25'!G233+'DOE25'!G276+'DOE25'!G295+'DOE25'!G314</f>
        <v>1432298.98</v>
      </c>
    </row>
    <row r="19" spans="1:3" x14ac:dyDescent="0.2">
      <c r="A19" t="s">
        <v>779</v>
      </c>
      <c r="B19" s="241">
        <v>1552168.87</v>
      </c>
      <c r="C19" s="241">
        <v>818688.35</v>
      </c>
    </row>
    <row r="20" spans="1:3" x14ac:dyDescent="0.2">
      <c r="A20" t="s">
        <v>780</v>
      </c>
      <c r="B20" s="241">
        <v>878324.52</v>
      </c>
      <c r="C20" s="241">
        <v>463270.5</v>
      </c>
    </row>
    <row r="21" spans="1:3" x14ac:dyDescent="0.2">
      <c r="A21" t="s">
        <v>781</v>
      </c>
      <c r="B21" s="241">
        <v>285033.08</v>
      </c>
      <c r="C21" s="241">
        <v>150340.13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2715526.47</v>
      </c>
      <c r="C22" s="232">
        <f>SUM(C19:C21)</f>
        <v>1432298.98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64862</v>
      </c>
      <c r="C36" s="236">
        <f>'DOE25'!G199+'DOE25'!G217+'DOE25'!G235+'DOE25'!G278+'DOE25'!G297+'DOE25'!G316</f>
        <v>10223.970000000001</v>
      </c>
    </row>
    <row r="37" spans="1:3" x14ac:dyDescent="0.2">
      <c r="A37" t="s">
        <v>779</v>
      </c>
      <c r="B37" s="241">
        <v>32913</v>
      </c>
      <c r="C37" s="241">
        <v>5530.69</v>
      </c>
    </row>
    <row r="38" spans="1:3" x14ac:dyDescent="0.2">
      <c r="A38" t="s">
        <v>780</v>
      </c>
      <c r="B38" s="241">
        <v>12080</v>
      </c>
      <c r="C38" s="241">
        <v>2714</v>
      </c>
    </row>
    <row r="39" spans="1:3" x14ac:dyDescent="0.2">
      <c r="A39" t="s">
        <v>781</v>
      </c>
      <c r="B39" s="241">
        <v>19869</v>
      </c>
      <c r="C39" s="241">
        <f>1537.02+442.26</f>
        <v>1979.28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64862</v>
      </c>
      <c r="C40" s="232">
        <f>SUM(C37:C39)</f>
        <v>10223.969999999999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Amherst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16309624.370000001</v>
      </c>
      <c r="D5" s="20">
        <f>SUM('DOE25'!L196:L199)+SUM('DOE25'!L214:L217)+SUM('DOE25'!L232:L235)-F5-G5</f>
        <v>16118276.950000001</v>
      </c>
      <c r="E5" s="244"/>
      <c r="F5" s="256">
        <f>SUM('DOE25'!J196:J199)+SUM('DOE25'!J214:J217)+SUM('DOE25'!J232:J235)</f>
        <v>190817.41999999998</v>
      </c>
      <c r="G5" s="53">
        <f>SUM('DOE25'!K196:K199)+SUM('DOE25'!K214:K217)+SUM('DOE25'!K232:K235)</f>
        <v>530</v>
      </c>
      <c r="H5" s="260"/>
    </row>
    <row r="6" spans="1:9" x14ac:dyDescent="0.2">
      <c r="A6" s="32">
        <v>2100</v>
      </c>
      <c r="B6" t="s">
        <v>801</v>
      </c>
      <c r="C6" s="246">
        <f t="shared" si="0"/>
        <v>1016821.3499999999</v>
      </c>
      <c r="D6" s="20">
        <f>'DOE25'!L201+'DOE25'!L219+'DOE25'!L237-F6-G6</f>
        <v>1016731.3499999999</v>
      </c>
      <c r="E6" s="244"/>
      <c r="F6" s="256">
        <f>'DOE25'!J201+'DOE25'!J219+'DOE25'!J237</f>
        <v>90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408357.53</v>
      </c>
      <c r="D7" s="20">
        <f>'DOE25'!L202+'DOE25'!L220+'DOE25'!L238-F7-G7</f>
        <v>407417.21</v>
      </c>
      <c r="E7" s="244"/>
      <c r="F7" s="256">
        <f>'DOE25'!J202+'DOE25'!J220+'DOE25'!J238</f>
        <v>940.32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1171477.5900000001</v>
      </c>
      <c r="D8" s="244"/>
      <c r="E8" s="20">
        <f>'DOE25'!L203+'DOE25'!L221+'DOE25'!L239-F8-G8-D9-D11</f>
        <v>1166128.8500000001</v>
      </c>
      <c r="F8" s="256">
        <f>'DOE25'!J203+'DOE25'!J221+'DOE25'!J239</f>
        <v>0</v>
      </c>
      <c r="G8" s="53">
        <f>'DOE25'!K203+'DOE25'!K221+'DOE25'!K239</f>
        <v>5348.74</v>
      </c>
      <c r="H8" s="260"/>
    </row>
    <row r="9" spans="1:9" x14ac:dyDescent="0.2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1184282.8399999999</v>
      </c>
      <c r="D12" s="20">
        <f>'DOE25'!L204+'DOE25'!L222+'DOE25'!L240-F12-G12</f>
        <v>1161980.0899999999</v>
      </c>
      <c r="E12" s="244"/>
      <c r="F12" s="256">
        <f>'DOE25'!J204+'DOE25'!J222+'DOE25'!J240</f>
        <v>19022.75</v>
      </c>
      <c r="G12" s="53">
        <f>'DOE25'!K204+'DOE25'!K222+'DOE25'!K240</f>
        <v>3280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2680.6000000000004</v>
      </c>
      <c r="D13" s="244"/>
      <c r="E13" s="20">
        <f>'DOE25'!L205+'DOE25'!L223+'DOE25'!L241-F13-G13</f>
        <v>2680.6000000000004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1377742.1600000001</v>
      </c>
      <c r="D14" s="20">
        <f>'DOE25'!L206+'DOE25'!L224+'DOE25'!L242-F14-G14</f>
        <v>1348721.11</v>
      </c>
      <c r="E14" s="244"/>
      <c r="F14" s="256">
        <f>'DOE25'!J206+'DOE25'!J224+'DOE25'!J242</f>
        <v>28815.05</v>
      </c>
      <c r="G14" s="53">
        <f>'DOE25'!K206+'DOE25'!K224+'DOE25'!K242</f>
        <v>206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662601.98</v>
      </c>
      <c r="D15" s="20">
        <f>'DOE25'!L207+'DOE25'!L225+'DOE25'!L243-F15-G15</f>
        <v>662601.98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368161.18999999994</v>
      </c>
      <c r="D16" s="244"/>
      <c r="E16" s="20">
        <f>'DOE25'!L208+'DOE25'!L226+'DOE25'!L244-F16-G16</f>
        <v>312844.58999999997</v>
      </c>
      <c r="F16" s="256">
        <f>'DOE25'!J208+'DOE25'!J226+'DOE25'!J244</f>
        <v>55316.600000000006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16900</v>
      </c>
      <c r="D22" s="244"/>
      <c r="E22" s="244"/>
      <c r="F22" s="256">
        <f>'DOE25'!L254+'DOE25'!L335</f>
        <v>16900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599938.76</v>
      </c>
      <c r="D25" s="244"/>
      <c r="E25" s="244"/>
      <c r="F25" s="259"/>
      <c r="G25" s="257"/>
      <c r="H25" s="258">
        <f>'DOE25'!L259+'DOE25'!L260+'DOE25'!L340+'DOE25'!L341</f>
        <v>599938.76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316651.18999999994</v>
      </c>
      <c r="D29" s="20">
        <f>'DOE25'!L357+'DOE25'!L358+'DOE25'!L359-'DOE25'!I366-F29-G29</f>
        <v>304547.55999999994</v>
      </c>
      <c r="E29" s="244"/>
      <c r="F29" s="256">
        <f>'DOE25'!J357+'DOE25'!J358+'DOE25'!J359</f>
        <v>12103.63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500676.96000000008</v>
      </c>
      <c r="D31" s="20">
        <f>'DOE25'!L289+'DOE25'!L308+'DOE25'!L327+'DOE25'!L332+'DOE25'!L333+'DOE25'!L334-F31-G31</f>
        <v>467748.18000000005</v>
      </c>
      <c r="E31" s="244"/>
      <c r="F31" s="256">
        <f>'DOE25'!J289+'DOE25'!J308+'DOE25'!J327+'DOE25'!J332+'DOE25'!J333+'DOE25'!J334</f>
        <v>32928.78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21488024.43</v>
      </c>
      <c r="E33" s="247">
        <f>SUM(E5:E31)</f>
        <v>1481654.04</v>
      </c>
      <c r="F33" s="247">
        <f>SUM(F5:F31)</f>
        <v>356934.55000000005</v>
      </c>
      <c r="G33" s="247">
        <f>SUM(G5:G31)</f>
        <v>9364.74</v>
      </c>
      <c r="H33" s="247">
        <f>SUM(H5:H31)</f>
        <v>599938.76</v>
      </c>
    </row>
    <row r="35" spans="2:8" ht="12" thickBot="1" x14ac:dyDescent="0.25">
      <c r="B35" s="254" t="s">
        <v>847</v>
      </c>
      <c r="D35" s="255">
        <f>E33</f>
        <v>1481654.04</v>
      </c>
      <c r="E35" s="250"/>
    </row>
    <row r="36" spans="2:8" ht="12" thickTop="1" x14ac:dyDescent="0.2">
      <c r="B36" t="s">
        <v>815</v>
      </c>
      <c r="D36" s="20">
        <f>D33</f>
        <v>21488024.43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-537716.36</v>
      </c>
      <c r="D8" s="95">
        <f>'DOE25'!G9</f>
        <v>0</v>
      </c>
      <c r="E8" s="95">
        <f>'DOE25'!H9</f>
        <v>0</v>
      </c>
      <c r="F8" s="95">
        <f>'DOE25'!I9</f>
        <v>30.89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852955.02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53744.68</v>
      </c>
      <c r="D11" s="95">
        <f>'DOE25'!G12</f>
        <v>74754.539999999994</v>
      </c>
      <c r="E11" s="95">
        <f>'DOE25'!H12</f>
        <v>0</v>
      </c>
      <c r="F11" s="95">
        <f>'DOE25'!I12</f>
        <v>0</v>
      </c>
      <c r="G11" s="95">
        <f>'DOE25'!J12</f>
        <v>36.979999999999997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107183.11</v>
      </c>
      <c r="D12" s="95">
        <f>'DOE25'!G13</f>
        <v>3191.25</v>
      </c>
      <c r="E12" s="95">
        <f>'DOE25'!H13</f>
        <v>156040.82999999999</v>
      </c>
      <c r="F12" s="95">
        <f>'DOE25'!I13</f>
        <v>0</v>
      </c>
      <c r="G12" s="95">
        <f>'DOE25'!J13</f>
        <v>16527.71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6465.28</v>
      </c>
      <c r="D13" s="95">
        <f>'DOE25'!G14</f>
        <v>163.11000000000001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483063.73000000004</v>
      </c>
      <c r="D18" s="41">
        <f>SUM(D8:D17)</f>
        <v>78108.899999999994</v>
      </c>
      <c r="E18" s="41">
        <f>SUM(E8:E17)</f>
        <v>156040.82999999999</v>
      </c>
      <c r="F18" s="41">
        <f>SUM(F8:F17)</f>
        <v>30.89</v>
      </c>
      <c r="G18" s="41">
        <f>SUM(G8:G17)</f>
        <v>16564.689999999999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128243.68</v>
      </c>
      <c r="F21" s="95">
        <f>'DOE25'!I22</f>
        <v>0</v>
      </c>
      <c r="G21" s="95">
        <f>'DOE25'!J22</f>
        <v>292.52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10461.9</v>
      </c>
      <c r="D22" s="95">
        <f>'DOE25'!G23</f>
        <v>7579.36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121605.8</v>
      </c>
      <c r="D23" s="95">
        <f>'DOE25'!G24</f>
        <v>0</v>
      </c>
      <c r="E23" s="95">
        <f>'DOE25'!H24</f>
        <v>17623.54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1056.6099999999999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13458.79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8110.12</v>
      </c>
      <c r="D29" s="95">
        <f>'DOE25'!G30</f>
        <v>0</v>
      </c>
      <c r="E29" s="95">
        <f>'DOE25'!H30</f>
        <v>10173.61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41.15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154734.37</v>
      </c>
      <c r="D31" s="41">
        <f>SUM(D21:D30)</f>
        <v>7579.36</v>
      </c>
      <c r="E31" s="41">
        <f>SUM(E21:E30)</f>
        <v>156040.83000000002</v>
      </c>
      <c r="F31" s="41">
        <f>SUM(F21:F30)</f>
        <v>0</v>
      </c>
      <c r="G31" s="41">
        <f>SUM(G21:G30)</f>
        <v>292.52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46046.85</v>
      </c>
      <c r="D46" s="95">
        <f>'DOE25'!G47</f>
        <v>67975.539999999994</v>
      </c>
      <c r="E46" s="95">
        <f>'DOE25'!H47</f>
        <v>0</v>
      </c>
      <c r="F46" s="95">
        <f>'DOE25'!I47</f>
        <v>30.89</v>
      </c>
      <c r="G46" s="95">
        <f>'DOE25'!J47</f>
        <v>16272.170000000002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2554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202282.51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328329.36</v>
      </c>
      <c r="D49" s="41">
        <f>SUM(D34:D48)</f>
        <v>70529.539999999994</v>
      </c>
      <c r="E49" s="41">
        <f>SUM(E34:E48)</f>
        <v>0</v>
      </c>
      <c r="F49" s="41">
        <f>SUM(F34:F48)</f>
        <v>30.89</v>
      </c>
      <c r="G49" s="41">
        <f>SUM(G34:G48)</f>
        <v>16272.170000000002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483063.73</v>
      </c>
      <c r="D50" s="41">
        <f>D49+D31</f>
        <v>78108.899999999994</v>
      </c>
      <c r="E50" s="41">
        <f>E49+E31</f>
        <v>156040.83000000002</v>
      </c>
      <c r="F50" s="41">
        <f>F49+F31</f>
        <v>30.89</v>
      </c>
      <c r="G50" s="41">
        <f>G49+G31</f>
        <v>16564.690000000002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15995403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1209191.1000000001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5829.13</v>
      </c>
      <c r="D58" s="95">
        <f>'DOE25'!G95</f>
        <v>0</v>
      </c>
      <c r="E58" s="95">
        <f>'DOE25'!H95</f>
        <v>0</v>
      </c>
      <c r="F58" s="95">
        <f>'DOE25'!I95</f>
        <v>0.05</v>
      </c>
      <c r="G58" s="95">
        <f>'DOE25'!J95</f>
        <v>80.53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377251.81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30726.79</v>
      </c>
      <c r="D60" s="95">
        <f>SUM('DOE25'!G97:G109)</f>
        <v>1206.0899999999999</v>
      </c>
      <c r="E60" s="95">
        <f>SUM('DOE25'!H97:H109)</f>
        <v>18759</v>
      </c>
      <c r="F60" s="95">
        <f>SUM('DOE25'!I97:I109)</f>
        <v>0</v>
      </c>
      <c r="G60" s="95">
        <f>SUM('DOE25'!J97:J109)</f>
        <v>11017.03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1245747.02</v>
      </c>
      <c r="D61" s="130">
        <f>SUM(D56:D60)</f>
        <v>378457.9</v>
      </c>
      <c r="E61" s="130">
        <f>SUM(E56:E60)</f>
        <v>18759</v>
      </c>
      <c r="F61" s="130">
        <f>SUM(F56:F60)</f>
        <v>0.05</v>
      </c>
      <c r="G61" s="130">
        <f>SUM(G56:G60)</f>
        <v>11097.560000000001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17241150.02</v>
      </c>
      <c r="D62" s="22">
        <f>D55+D61</f>
        <v>378457.9</v>
      </c>
      <c r="E62" s="22">
        <f>E55+E61</f>
        <v>18759</v>
      </c>
      <c r="F62" s="22">
        <f>F55+F61</f>
        <v>0.05</v>
      </c>
      <c r="G62" s="22">
        <f>G55+G61</f>
        <v>11097.560000000001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2700420.27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2555388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2339.73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21902.09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5280050.09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157401.94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291914.74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4047.02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449316.68</v>
      </c>
      <c r="D77" s="130">
        <f>SUM(D71:D76)</f>
        <v>4047.02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5729366.7699999996</v>
      </c>
      <c r="D80" s="130">
        <f>SUM(D78:D79)+D77+D69</f>
        <v>4047.02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246326.18</v>
      </c>
      <c r="D87" s="95">
        <f>SUM('DOE25'!G152:G160)</f>
        <v>75034.73</v>
      </c>
      <c r="E87" s="95">
        <f>SUM('DOE25'!H152:H160)</f>
        <v>481917.96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246326.18</v>
      </c>
      <c r="D90" s="131">
        <f>SUM(D84:D89)</f>
        <v>75034.73</v>
      </c>
      <c r="E90" s="131">
        <f>SUM(E84:E89)</f>
        <v>481917.96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60000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60000</v>
      </c>
    </row>
    <row r="103" spans="1:7" ht="12.75" thickTop="1" thickBot="1" x14ac:dyDescent="0.25">
      <c r="A103" s="33" t="s">
        <v>765</v>
      </c>
      <c r="C103" s="86">
        <f>C62+C80+C90+C102</f>
        <v>23216842.969999999</v>
      </c>
      <c r="D103" s="86">
        <f>D62+D80+D90+D102</f>
        <v>457539.65</v>
      </c>
      <c r="E103" s="86">
        <f>E62+E80+E90+E102</f>
        <v>500676.96</v>
      </c>
      <c r="F103" s="86">
        <f>F62+F80+F90+F102</f>
        <v>0.05</v>
      </c>
      <c r="G103" s="86">
        <f>G62+G80+G102</f>
        <v>71097.56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11417041.76</v>
      </c>
      <c r="D108" s="24" t="s">
        <v>289</v>
      </c>
      <c r="E108" s="95">
        <f>('DOE25'!L275)+('DOE25'!L294)+('DOE25'!L313)</f>
        <v>79242.28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4804435.6500000004</v>
      </c>
      <c r="D109" s="24" t="s">
        <v>289</v>
      </c>
      <c r="E109" s="95">
        <f>('DOE25'!L276)+('DOE25'!L295)+('DOE25'!L314)</f>
        <v>290802.31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88146.959999999992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16309624.370000001</v>
      </c>
      <c r="D114" s="86">
        <f>SUM(D108:D113)</f>
        <v>0</v>
      </c>
      <c r="E114" s="86">
        <f>SUM(E108:E113)</f>
        <v>370044.58999999997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1016821.3499999999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408357.53</v>
      </c>
      <c r="D118" s="24" t="s">
        <v>289</v>
      </c>
      <c r="E118" s="95">
        <f>+('DOE25'!L281)+('DOE25'!L300)+('DOE25'!L319)</f>
        <v>127577.37000000001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1171477.5900000001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1184282.8399999999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2680.6000000000004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1377742.1600000001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662601.98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368161.19</v>
      </c>
      <c r="D124" s="24" t="s">
        <v>289</v>
      </c>
      <c r="E124" s="95">
        <f>+('DOE25'!L287)+('DOE25'!L306)+('DOE25'!L325)</f>
        <v>3055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458880.57999999996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6192125.2400000012</v>
      </c>
      <c r="D127" s="86">
        <f>SUM(D117:D126)</f>
        <v>458880.57999999996</v>
      </c>
      <c r="E127" s="86">
        <f>SUM(E117:E126)</f>
        <v>130632.37000000001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16900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385000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214938.76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5081.3899999999994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60080.53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11017.03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-11097.559999999998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676838.76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5081.3899999999994</v>
      </c>
    </row>
    <row r="144" spans="1:7" ht="12.75" thickTop="1" thickBot="1" x14ac:dyDescent="0.25">
      <c r="A144" s="33" t="s">
        <v>244</v>
      </c>
      <c r="C144" s="86">
        <f>(C114+C127+C143)</f>
        <v>23178588.370000005</v>
      </c>
      <c r="D144" s="86">
        <f>(D114+D127+D143)</f>
        <v>458880.57999999996</v>
      </c>
      <c r="E144" s="86">
        <f>(E114+E127+E143)</f>
        <v>500676.95999999996</v>
      </c>
      <c r="F144" s="86">
        <f>(F114+F127+F143)</f>
        <v>0</v>
      </c>
      <c r="G144" s="86">
        <f>(G114+G127+G143)</f>
        <v>5081.3899999999994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07/01</v>
      </c>
      <c r="C151" s="152" t="str">
        <f>'DOE25'!G490</f>
        <v>07/08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07/21</v>
      </c>
      <c r="C152" s="152" t="str">
        <f>'DOE25'!G491</f>
        <v>08/28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3799000</v>
      </c>
      <c r="C153" s="137">
        <f>'DOE25'!G492</f>
        <v>3883620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4.25</v>
      </c>
      <c r="C154" s="137">
        <f>'DOE25'!G493</f>
        <v>4.24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1900000</v>
      </c>
      <c r="C155" s="137">
        <f>'DOE25'!G494</f>
        <v>3495000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5395000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190000</v>
      </c>
      <c r="C157" s="137">
        <f>'DOE25'!G496</f>
        <v>195000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385000</v>
      </c>
    </row>
    <row r="158" spans="1:9" x14ac:dyDescent="0.2">
      <c r="A158" s="22" t="s">
        <v>35</v>
      </c>
      <c r="B158" s="137">
        <f>'DOE25'!F497</f>
        <v>1717000</v>
      </c>
      <c r="C158" s="137">
        <f>'DOE25'!G497</f>
        <v>3300000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5017000</v>
      </c>
    </row>
    <row r="159" spans="1:9" x14ac:dyDescent="0.2">
      <c r="A159" s="22" t="s">
        <v>36</v>
      </c>
      <c r="B159" s="137">
        <f>'DOE25'!F498</f>
        <v>275607.67</v>
      </c>
      <c r="C159" s="137">
        <f>'DOE25'!G498</f>
        <v>1263709.5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1539317.17</v>
      </c>
    </row>
    <row r="160" spans="1:9" x14ac:dyDescent="0.2">
      <c r="A160" s="22" t="s">
        <v>37</v>
      </c>
      <c r="B160" s="137">
        <f>'DOE25'!F499</f>
        <v>1992607.67</v>
      </c>
      <c r="C160" s="137">
        <f>'DOE25'!G499</f>
        <v>4563709.5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6556317.1699999999</v>
      </c>
    </row>
    <row r="161" spans="1:7" x14ac:dyDescent="0.2">
      <c r="A161" s="22" t="s">
        <v>38</v>
      </c>
      <c r="B161" s="137">
        <f>'DOE25'!F500</f>
        <v>12000</v>
      </c>
      <c r="C161" s="137">
        <f>'DOE25'!G500</f>
        <v>195000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207000</v>
      </c>
    </row>
    <row r="162" spans="1:7" x14ac:dyDescent="0.2">
      <c r="A162" s="22" t="s">
        <v>39</v>
      </c>
      <c r="B162" s="137">
        <f>'DOE25'!F501</f>
        <v>61232.67</v>
      </c>
      <c r="C162" s="137">
        <f>'DOE25'!G501</f>
        <v>150943.76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212176.43</v>
      </c>
    </row>
    <row r="163" spans="1:7" x14ac:dyDescent="0.2">
      <c r="A163" s="22" t="s">
        <v>246</v>
      </c>
      <c r="B163" s="137">
        <f>'DOE25'!F502</f>
        <v>73232.67</v>
      </c>
      <c r="C163" s="137">
        <f>'DOE25'!G502</f>
        <v>345943.76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419176.43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Amherst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17946</v>
      </c>
    </row>
    <row r="5" spans="1:4" x14ac:dyDescent="0.2">
      <c r="B5" t="s">
        <v>704</v>
      </c>
      <c r="C5" s="179">
        <f>IF('DOE25'!G664+'DOE25'!G669=0,0,ROUND('DOE25'!G671,0))</f>
        <v>15537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16569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11496284</v>
      </c>
      <c r="D10" s="182">
        <f>ROUND((C10/$C$28)*100,1)</f>
        <v>49.3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5095238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88147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1016821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535935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1542694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1184283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2681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1377742</v>
      </c>
      <c r="D20" s="182">
        <f t="shared" si="0"/>
        <v>5.9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662602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214939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80423.099999999977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23297789.100000001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16900</v>
      </c>
    </row>
    <row r="30" spans="1:4" x14ac:dyDescent="0.2">
      <c r="B30" s="187" t="s">
        <v>729</v>
      </c>
      <c r="C30" s="180">
        <f>SUM(C28:C29)</f>
        <v>23314689.100000001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385000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15995403</v>
      </c>
      <c r="D35" s="182">
        <f t="shared" ref="D35:D40" si="1">ROUND((C35/$C$41)*100,1)</f>
        <v>67.2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1275603.6300000027</v>
      </c>
      <c r="D36" s="182">
        <f t="shared" si="1"/>
        <v>5.4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5258148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475266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803279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23807699.630000003</v>
      </c>
      <c r="D41" s="184">
        <f>SUM(D35:D40)</f>
        <v>100.10000000000002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Amherst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2012-08-22T19:06:22Z</cp:lastPrinted>
  <dcterms:created xsi:type="dcterms:W3CDTF">1997-12-04T19:04:30Z</dcterms:created>
  <dcterms:modified xsi:type="dcterms:W3CDTF">2012-09-10T12:37:09Z</dcterms:modified>
</cp:coreProperties>
</file>