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7" i="1" l="1"/>
  <c r="D9" i="13" l="1"/>
  <c r="C20" i="12"/>
  <c r="C19" i="12"/>
  <c r="B19" i="12"/>
  <c r="B20" i="12"/>
  <c r="B11" i="12" l="1"/>
  <c r="B10" i="12"/>
  <c r="F56" i="1"/>
  <c r="H603" i="1" l="1"/>
  <c r="F366" i="1" l="1"/>
  <c r="I202" i="1"/>
  <c r="H207" i="1"/>
  <c r="J464" i="1" l="1"/>
  <c r="H160" i="1" l="1"/>
  <c r="F95" i="1"/>
  <c r="H467" i="1"/>
  <c r="G471" i="1"/>
  <c r="G467" i="1"/>
  <c r="H196" i="1"/>
  <c r="K284" i="1"/>
  <c r="H280" i="1"/>
  <c r="F276" i="1"/>
  <c r="J276" i="1"/>
  <c r="I276" i="1"/>
  <c r="G276" i="1"/>
  <c r="J275" i="1"/>
  <c r="I275" i="1"/>
  <c r="H275" i="1"/>
  <c r="H243" i="1" l="1"/>
  <c r="H202" i="1"/>
  <c r="H201" i="1"/>
  <c r="I357" i="1" l="1"/>
  <c r="H357" i="1"/>
  <c r="G357" i="1"/>
  <c r="F357" i="1"/>
  <c r="G202" i="1"/>
  <c r="H197" i="1"/>
  <c r="G197" i="1"/>
  <c r="F197" i="1"/>
  <c r="I197" i="1"/>
  <c r="G28" i="1"/>
  <c r="F29" i="1"/>
  <c r="I206" i="1" l="1"/>
  <c r="H206" i="1"/>
  <c r="F206" i="1"/>
  <c r="G206" i="1"/>
  <c r="J204" i="1"/>
  <c r="I204" i="1"/>
  <c r="H204" i="1"/>
  <c r="G204" i="1"/>
  <c r="F204" i="1"/>
  <c r="H203" i="1"/>
  <c r="G203" i="1"/>
  <c r="F203" i="1"/>
  <c r="F202" i="1"/>
  <c r="I201" i="1"/>
  <c r="G201" i="1"/>
  <c r="F201" i="1"/>
  <c r="I199" i="1"/>
  <c r="H199" i="1"/>
  <c r="G199" i="1"/>
  <c r="F199" i="1"/>
  <c r="I196" i="1"/>
  <c r="G196" i="1"/>
  <c r="F19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C118" i="2" s="1"/>
  <c r="L220" i="1"/>
  <c r="L238" i="1"/>
  <c r="F12" i="13"/>
  <c r="G12" i="13"/>
  <c r="L204" i="1"/>
  <c r="C120" i="2" s="1"/>
  <c r="L222" i="1"/>
  <c r="L240" i="1"/>
  <c r="F14" i="13"/>
  <c r="D14" i="13" s="1"/>
  <c r="C14" i="13" s="1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/>
  <c r="G33" i="13" s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5" i="10"/>
  <c r="C17" i="10"/>
  <c r="C18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G660" i="1"/>
  <c r="H660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E18" i="2" s="1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10" i="2"/>
  <c r="C112" i="2"/>
  <c r="E112" i="2"/>
  <c r="C113" i="2"/>
  <c r="E113" i="2"/>
  <c r="D114" i="2"/>
  <c r="F114" i="2"/>
  <c r="G114" i="2"/>
  <c r="E118" i="2"/>
  <c r="E119" i="2"/>
  <c r="E120" i="2"/>
  <c r="C122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50" i="1"/>
  <c r="G622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H407" i="1" s="1"/>
  <c r="H643" i="1" s="1"/>
  <c r="I392" i="1"/>
  <c r="F400" i="1"/>
  <c r="G400" i="1"/>
  <c r="H400" i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J619" i="1" s="1"/>
  <c r="G621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40" i="1"/>
  <c r="H640" i="1"/>
  <c r="G642" i="1"/>
  <c r="H642" i="1"/>
  <c r="G643" i="1"/>
  <c r="G644" i="1"/>
  <c r="H644" i="1"/>
  <c r="G649" i="1"/>
  <c r="H649" i="1"/>
  <c r="J649" i="1" s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G163" i="2"/>
  <c r="G159" i="2"/>
  <c r="F31" i="2"/>
  <c r="C26" i="10"/>
  <c r="L327" i="1"/>
  <c r="L350" i="1"/>
  <c r="D12" i="13"/>
  <c r="C12" i="13" s="1"/>
  <c r="G8" i="2"/>
  <c r="G161" i="2"/>
  <c r="D18" i="13"/>
  <c r="C18" i="13" s="1"/>
  <c r="F102" i="2"/>
  <c r="D17" i="13"/>
  <c r="C17" i="13" s="1"/>
  <c r="G158" i="2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F90" i="2"/>
  <c r="E61" i="2"/>
  <c r="E62" i="2" s="1"/>
  <c r="D19" i="13"/>
  <c r="C19" i="13" s="1"/>
  <c r="A40" i="12" l="1"/>
  <c r="K256" i="1"/>
  <c r="K270" i="1" s="1"/>
  <c r="E13" i="13"/>
  <c r="C13" i="13" s="1"/>
  <c r="I256" i="1"/>
  <c r="I270" i="1" s="1"/>
  <c r="C121" i="2"/>
  <c r="G256" i="1"/>
  <c r="G270" i="1" s="1"/>
  <c r="A31" i="12"/>
  <c r="E111" i="2"/>
  <c r="E109" i="2"/>
  <c r="A22" i="12"/>
  <c r="L228" i="1"/>
  <c r="C111" i="2"/>
  <c r="C110" i="2"/>
  <c r="E108" i="2"/>
  <c r="L543" i="1"/>
  <c r="G51" i="1"/>
  <c r="H617" i="1" s="1"/>
  <c r="G570" i="1"/>
  <c r="L538" i="1"/>
  <c r="L533" i="1"/>
  <c r="F544" i="1"/>
  <c r="L523" i="1"/>
  <c r="I368" i="1"/>
  <c r="H633" i="1" s="1"/>
  <c r="C19" i="10"/>
  <c r="I445" i="1"/>
  <c r="G641" i="1" s="1"/>
  <c r="G623" i="1"/>
  <c r="E90" i="2"/>
  <c r="C61" i="2"/>
  <c r="D61" i="2"/>
  <c r="D62" i="2" s="1"/>
  <c r="I459" i="1"/>
  <c r="I460" i="1" s="1"/>
  <c r="H641" i="1" s="1"/>
  <c r="J641" i="1" s="1"/>
  <c r="J337" i="1"/>
  <c r="J351" i="1" s="1"/>
  <c r="F31" i="13"/>
  <c r="E114" i="2"/>
  <c r="E121" i="2"/>
  <c r="K337" i="1"/>
  <c r="K351" i="1" s="1"/>
  <c r="L289" i="1"/>
  <c r="D29" i="13"/>
  <c r="C29" i="13" s="1"/>
  <c r="H661" i="1"/>
  <c r="C21" i="10"/>
  <c r="L246" i="1"/>
  <c r="H659" i="1" s="1"/>
  <c r="H663" i="1" s="1"/>
  <c r="H666" i="1" s="1"/>
  <c r="C109" i="2"/>
  <c r="D6" i="13"/>
  <c r="C6" i="13" s="1"/>
  <c r="F660" i="1"/>
  <c r="I660" i="1" s="1"/>
  <c r="G634" i="1"/>
  <c r="J634" i="1" s="1"/>
  <c r="D31" i="2"/>
  <c r="D50" i="2" s="1"/>
  <c r="E49" i="2"/>
  <c r="E50" i="2" s="1"/>
  <c r="C62" i="2"/>
  <c r="C103" i="2" s="1"/>
  <c r="J618" i="1"/>
  <c r="F51" i="1"/>
  <c r="H616" i="1" s="1"/>
  <c r="J616" i="1" s="1"/>
  <c r="D18" i="2"/>
  <c r="F256" i="1"/>
  <c r="F270" i="1" s="1"/>
  <c r="C123" i="2"/>
  <c r="G648" i="1"/>
  <c r="J648" i="1" s="1"/>
  <c r="D15" i="13"/>
  <c r="C15" i="13" s="1"/>
  <c r="H646" i="1"/>
  <c r="F661" i="1"/>
  <c r="I661" i="1" s="1"/>
  <c r="E8" i="13"/>
  <c r="C8" i="13" s="1"/>
  <c r="C16" i="10"/>
  <c r="D7" i="13"/>
  <c r="C7" i="13" s="1"/>
  <c r="C13" i="10"/>
  <c r="C12" i="10"/>
  <c r="L210" i="1"/>
  <c r="C11" i="10"/>
  <c r="C10" i="10"/>
  <c r="C108" i="2"/>
  <c r="C31" i="2"/>
  <c r="C18" i="2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192" i="1" s="1"/>
  <c r="G628" i="1" s="1"/>
  <c r="J628" i="1" s="1"/>
  <c r="G551" i="1"/>
  <c r="L433" i="1"/>
  <c r="G637" i="1" s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C127" i="2" l="1"/>
  <c r="C114" i="2"/>
  <c r="E144" i="2"/>
  <c r="K551" i="1"/>
  <c r="L256" i="1"/>
  <c r="L270" i="1" s="1"/>
  <c r="G631" i="1" s="1"/>
  <c r="J631" i="1" s="1"/>
  <c r="F192" i="1"/>
  <c r="G626" i="1" s="1"/>
  <c r="J626" i="1" s="1"/>
  <c r="C50" i="2"/>
  <c r="C39" i="10"/>
  <c r="C36" i="10"/>
  <c r="C41" i="10" s="1"/>
  <c r="D39" i="10" s="1"/>
  <c r="H671" i="1"/>
  <c r="J646" i="1"/>
  <c r="F659" i="1"/>
  <c r="F663" i="1" s="1"/>
  <c r="F666" i="1" s="1"/>
  <c r="H647" i="1"/>
  <c r="J647" i="1" s="1"/>
  <c r="C28" i="10"/>
  <c r="D21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71" i="1" l="1"/>
  <c r="C4" i="10" s="1"/>
  <c r="D26" i="10"/>
  <c r="D19" i="10"/>
  <c r="D18" i="10"/>
  <c r="D16" i="10"/>
  <c r="D13" i="10"/>
  <c r="D10" i="10"/>
  <c r="D12" i="10"/>
  <c r="D22" i="10"/>
  <c r="D25" i="10"/>
  <c r="D15" i="10"/>
  <c r="D23" i="10"/>
  <c r="D27" i="10"/>
  <c r="C30" i="10"/>
  <c r="D24" i="10"/>
  <c r="D17" i="10"/>
  <c r="D11" i="10"/>
  <c r="D20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D28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<sst xmlns="http://schemas.openxmlformats.org/spreadsheetml/2006/main" count="3953" uniqueCount="910">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</sst>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F469" sqref="F4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19</v>
      </c>
      <c r="C2" s="21">
        <v>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57327.75</v>
      </c>
      <c r="G9" s="18">
        <v>2682.84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239836.28</v>
      </c>
      <c r="G10" s="18">
        <v>0</v>
      </c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62304.94</v>
      </c>
      <c r="G12" s="18">
        <v>0</v>
      </c>
      <c r="H12" s="18">
        <v>4315.3500000000004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4656.49</v>
      </c>
      <c r="G13" s="18">
        <v>7310.02</v>
      </c>
      <c r="H13" s="18">
        <v>60503.46</v>
      </c>
      <c r="I13" s="18"/>
      <c r="J13" s="67">
        <f>SUM(I441)</f>
        <v>104395.87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>
        <v>0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>
        <v>778.34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364125.46</v>
      </c>
      <c r="G19" s="41">
        <f>SUM(G9:G18)</f>
        <v>10771.2</v>
      </c>
      <c r="H19" s="41">
        <f>SUM(H9:H18)</f>
        <v>64818.81</v>
      </c>
      <c r="I19" s="41">
        <f>SUM(I9:I18)</f>
        <v>0</v>
      </c>
      <c r="J19" s="41">
        <f>SUM(J9:J18)</f>
        <v>104395.87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v>57904.14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6026.15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19327.97</v>
      </c>
      <c r="G24" s="18">
        <v>0</v>
      </c>
      <c r="H24" s="18">
        <v>2599.3200000000002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f>3966.12</f>
        <v>3966.12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156215.55+3895.28</f>
        <v>160110.82999999999</v>
      </c>
      <c r="G29" s="18">
        <v>0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4315.3500000000004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20000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199438.8</v>
      </c>
      <c r="G32" s="41">
        <f>SUM(G22:G31)</f>
        <v>9992.27</v>
      </c>
      <c r="H32" s="41">
        <f>SUM(H22:H31)</f>
        <v>64818.81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778.34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104395.87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>
        <v>0</v>
      </c>
      <c r="H45" s="18" t="s">
        <v>287</v>
      </c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0.59</v>
      </c>
      <c r="H48" s="18" t="s">
        <v>287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164686.66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164686.66</v>
      </c>
      <c r="G50" s="41">
        <f>SUM(G35:G49)</f>
        <v>778.93000000000006</v>
      </c>
      <c r="H50" s="41">
        <f>SUM(H35:H49)</f>
        <v>0</v>
      </c>
      <c r="I50" s="41">
        <f>SUM(I35:I49)</f>
        <v>0</v>
      </c>
      <c r="J50" s="41">
        <f>SUM(J35:J49)</f>
        <v>104395.87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364125.45999999996</v>
      </c>
      <c r="G51" s="41">
        <f>G50+G32</f>
        <v>10771.2</v>
      </c>
      <c r="H51" s="41">
        <f>H50+H32</f>
        <v>64818.81</v>
      </c>
      <c r="I51" s="41">
        <f>I50+I32</f>
        <v>0</v>
      </c>
      <c r="J51" s="41">
        <f>J50+J32</f>
        <v>104395.87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2712281</f>
        <v>2712281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2712281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122.91+269.48</f>
        <v>392.39</v>
      </c>
      <c r="G95" s="18">
        <v>24.78</v>
      </c>
      <c r="H95" s="18"/>
      <c r="I95" s="18"/>
      <c r="J95" s="18">
        <v>37.68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35453.03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290.08999999999997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2545.3000000000002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3227.78</v>
      </c>
      <c r="G110" s="41">
        <f>SUM(G95:G109)</f>
        <v>35477.81</v>
      </c>
      <c r="H110" s="41">
        <f>SUM(H95:H109)</f>
        <v>0</v>
      </c>
      <c r="I110" s="41">
        <f>SUM(I95:I109)</f>
        <v>0</v>
      </c>
      <c r="J110" s="41">
        <f>SUM(J95:J109)</f>
        <v>37.68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2715508.78</v>
      </c>
      <c r="G111" s="41">
        <f>G59+G110</f>
        <v>35477.81</v>
      </c>
      <c r="H111" s="41">
        <f>H59+H78+H93+H110</f>
        <v>0</v>
      </c>
      <c r="I111" s="41">
        <f>I59+I110</f>
        <v>0</v>
      </c>
      <c r="J111" s="41">
        <f>J59+J110</f>
        <v>37.68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821984.81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585482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712.19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1408179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21289.279999999999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949.79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21289.279999999999</v>
      </c>
      <c r="G135" s="41">
        <f>SUM(G122:G134)</f>
        <v>949.79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1429468.28</v>
      </c>
      <c r="G139" s="41">
        <f>G120+SUM(G135:G136)</f>
        <v>949.79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25300.62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38507.07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24229.3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55879.59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18612.5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4087</f>
        <v>4087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18612.5</v>
      </c>
      <c r="G161" s="41">
        <f>SUM(G149:G160)</f>
        <v>24229.3</v>
      </c>
      <c r="H161" s="41">
        <f>SUM(H149:H160)</f>
        <v>123774.28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2938.27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18612.5</v>
      </c>
      <c r="G168" s="41">
        <f>G146+G161+SUM(G162:G167)</f>
        <v>27167.57</v>
      </c>
      <c r="H168" s="41">
        <f>H146+H161+SUM(H162:H167)</f>
        <v>123774.28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33235.279999999999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33235.279999999999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>
        <v>0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33235.279999999999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4163589.5599999996</v>
      </c>
      <c r="G192" s="47">
        <f>G111+G139+G168+G191</f>
        <v>96830.45</v>
      </c>
      <c r="H192" s="47">
        <f>H111+H139+H168+H191</f>
        <v>123774.28</v>
      </c>
      <c r="I192" s="47">
        <f>I111+I139+I168+I191</f>
        <v>0</v>
      </c>
      <c r="J192" s="47">
        <f>J111+J139+J191</f>
        <v>37.68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128962+449988.68+353677+13274.97+30923.37</f>
        <v>976826.0199999999</v>
      </c>
      <c r="G196" s="18">
        <f>15190.15+225939.43+1566.6+2032.29+74564.69+2645.87+96336.74+3918.76</f>
        <v>422194.53</v>
      </c>
      <c r="H196" s="18">
        <f>5740</f>
        <v>5740</v>
      </c>
      <c r="I196" s="18">
        <f>13414.91+6956.1+7000+11031.06+300+917.54</f>
        <v>39619.61</v>
      </c>
      <c r="J196" s="18">
        <v>0</v>
      </c>
      <c r="K196" s="18">
        <v>0</v>
      </c>
      <c r="L196" s="19">
        <f>SUM(F196:K196)</f>
        <v>1444380.16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49052+61152+52914+27883.98+1236</f>
        <v>192237.98</v>
      </c>
      <c r="G197" s="18">
        <f>25857+28709+371+483.73+14882.62+1875.63+19665.76+911.33+94.56+156.04+11.27</f>
        <v>93017.94</v>
      </c>
      <c r="H197" s="18">
        <f>61285.13+1591.9+1772.4</f>
        <v>64649.43</v>
      </c>
      <c r="I197" s="18">
        <f>1581.21+507.12</f>
        <v>2088.33</v>
      </c>
      <c r="J197" s="18"/>
      <c r="K197" s="18">
        <v>635</v>
      </c>
      <c r="L197" s="19">
        <f>SUM(F197:K197)</f>
        <v>352628.68000000005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10900</f>
        <v>10900</v>
      </c>
      <c r="G199" s="18">
        <f>833.88+988.75+69.26</f>
        <v>1891.89</v>
      </c>
      <c r="H199" s="18">
        <f>1910</f>
        <v>1910</v>
      </c>
      <c r="I199" s="18">
        <f>2921.63</f>
        <v>2921.63</v>
      </c>
      <c r="J199" s="18">
        <v>0</v>
      </c>
      <c r="K199" s="18">
        <v>80</v>
      </c>
      <c r="L199" s="19">
        <f>SUM(F199:K199)</f>
        <v>17703.52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37073+39481</f>
        <v>76554</v>
      </c>
      <c r="G201" s="18">
        <f>11088.35+58.52+74.8+1976.59+147.11+18176.6+72.52+209.28+2774.93+4380.86+238.97</f>
        <v>39198.53</v>
      </c>
      <c r="H201" s="18">
        <f>19100.5+46404.48+273+4114.5+21000-6.19+2715.84</f>
        <v>93602.13</v>
      </c>
      <c r="I201" s="18">
        <f>878.78+1647.89+192.75</f>
        <v>2719.42</v>
      </c>
      <c r="J201" s="18"/>
      <c r="K201" s="18"/>
      <c r="L201" s="19">
        <f t="shared" ref="L201:L207" si="0">SUM(F201:K201)</f>
        <v>212074.08000000002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2000+14482.84</f>
        <v>16482.84</v>
      </c>
      <c r="G202" s="18">
        <f>153+226+15.04+96.02+10825.32+7189+22.4+28.66+1101.01+1245.84+99.93</f>
        <v>21002.219999999998</v>
      </c>
      <c r="H202" s="18">
        <f>6876.25+3209+770+314</f>
        <v>11169.25</v>
      </c>
      <c r="I202" s="18">
        <f>3674.97+154.26</f>
        <v>3829.2299999999996</v>
      </c>
      <c r="J202" s="18">
        <v>4062.52</v>
      </c>
      <c r="K202" s="18"/>
      <c r="L202" s="19">
        <f t="shared" si="0"/>
        <v>56546.05999999999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500+150+1000</f>
        <v>1650</v>
      </c>
      <c r="G203" s="18">
        <f>7.25+2.05+2.18+4.52+14.5</f>
        <v>30.5</v>
      </c>
      <c r="H203" s="18">
        <f>3090+6000+31167.63+301.07+488.75+1443.78+97562</f>
        <v>140053.23000000001</v>
      </c>
      <c r="I203" s="18">
        <v>356</v>
      </c>
      <c r="J203" s="18"/>
      <c r="K203" s="18">
        <v>2943.12</v>
      </c>
      <c r="L203" s="19">
        <f t="shared" si="0"/>
        <v>145032.85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76706+33228.9</f>
        <v>109934.9</v>
      </c>
      <c r="G204" s="18">
        <f>26045+1679+193.2+251.14+8051.48+2865.7+8820.34+661.1</f>
        <v>48566.96</v>
      </c>
      <c r="H204" s="18">
        <f>604.52+2007.23+2568.65</f>
        <v>5180.3999999999996</v>
      </c>
      <c r="I204" s="18">
        <f>986.2+650</f>
        <v>1636.2</v>
      </c>
      <c r="J204" s="18">
        <f>5766.34</f>
        <v>5766.34</v>
      </c>
      <c r="K204" s="18">
        <v>675</v>
      </c>
      <c r="L204" s="19">
        <f t="shared" si="0"/>
        <v>171759.8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70826.83+3490</f>
        <v>74316.83</v>
      </c>
      <c r="G206" s="18">
        <f>15303+102.48+132.47+5695.56+6189.23+493.95+412.66</f>
        <v>28329.35</v>
      </c>
      <c r="H206" s="18">
        <f>1485.1+750+2200+16087.15+1200+4049+7015.89+1250.01+748.2</f>
        <v>34785.35</v>
      </c>
      <c r="I206" s="18">
        <f>16370.63+23235.76+3767.37+36210.64+63.59</f>
        <v>79647.989999999991</v>
      </c>
      <c r="J206" s="18">
        <v>134.74</v>
      </c>
      <c r="K206" s="18"/>
      <c r="L206" s="19">
        <f t="shared" si="0"/>
        <v>217214.25999999998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 t="s">
        <v>287</v>
      </c>
      <c r="G207" s="18"/>
      <c r="H207" s="18">
        <f>3271.76+3225.52+119410.33</f>
        <v>125907.61</v>
      </c>
      <c r="I207" s="18">
        <v>10311.74</v>
      </c>
      <c r="J207" s="18"/>
      <c r="K207" s="18"/>
      <c r="L207" s="19">
        <f t="shared" si="0"/>
        <v>136219.35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1458902.57</v>
      </c>
      <c r="G210" s="41">
        <f t="shared" si="1"/>
        <v>654231.91999999993</v>
      </c>
      <c r="H210" s="41">
        <f t="shared" si="1"/>
        <v>482997.4</v>
      </c>
      <c r="I210" s="41">
        <f t="shared" si="1"/>
        <v>143130.14999999997</v>
      </c>
      <c r="J210" s="41">
        <f t="shared" si="1"/>
        <v>9963.6</v>
      </c>
      <c r="K210" s="41">
        <f t="shared" si="1"/>
        <v>4333.12</v>
      </c>
      <c r="L210" s="41">
        <f t="shared" si="1"/>
        <v>2753558.76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 t="s">
        <v>287</v>
      </c>
      <c r="I215" s="18"/>
      <c r="J215" s="18"/>
      <c r="K215" s="18"/>
      <c r="L215" s="19">
        <f>SUM(F215:K215)</f>
        <v>0</v>
      </c>
      <c r="M215" s="8" t="s">
        <v>287</v>
      </c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955853.89</v>
      </c>
      <c r="I232" s="18"/>
      <c r="J232" s="18"/>
      <c r="K232" s="18"/>
      <c r="L232" s="19">
        <f>SUM(F232:K232)</f>
        <v>955853.89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141849.5</v>
      </c>
      <c r="I233" s="18"/>
      <c r="J233" s="18"/>
      <c r="K233" s="18"/>
      <c r="L233" s="19">
        <f>SUM(F233:K233)</f>
        <v>141849.5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 t="s">
        <v>287</v>
      </c>
      <c r="G243" s="18"/>
      <c r="H243" s="18">
        <f>120770+40673.75</f>
        <v>161443.75</v>
      </c>
      <c r="I243" s="18"/>
      <c r="J243" s="18"/>
      <c r="K243" s="18"/>
      <c r="L243" s="19">
        <f t="shared" si="4"/>
        <v>161443.75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1259147.1400000001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1259147.1400000001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1458902.57</v>
      </c>
      <c r="G256" s="41">
        <f t="shared" si="8"/>
        <v>654231.91999999993</v>
      </c>
      <c r="H256" s="41">
        <f t="shared" si="8"/>
        <v>1742144.54</v>
      </c>
      <c r="I256" s="41">
        <f t="shared" si="8"/>
        <v>143130.14999999997</v>
      </c>
      <c r="J256" s="41">
        <f t="shared" si="8"/>
        <v>9963.6</v>
      </c>
      <c r="K256" s="41">
        <f t="shared" si="8"/>
        <v>4333.12</v>
      </c>
      <c r="L256" s="41">
        <f t="shared" si="8"/>
        <v>4012705.9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33235.279999999999</v>
      </c>
      <c r="L262" s="19">
        <f>SUM(F262:K262)</f>
        <v>33235.279999999999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33235.279999999999</v>
      </c>
      <c r="L269" s="41">
        <f t="shared" si="9"/>
        <v>33235.279999999999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1458902.57</v>
      </c>
      <c r="G270" s="42">
        <f t="shared" si="11"/>
        <v>654231.91999999993</v>
      </c>
      <c r="H270" s="42">
        <f t="shared" si="11"/>
        <v>1742144.54</v>
      </c>
      <c r="I270" s="42">
        <f t="shared" si="11"/>
        <v>143130.14999999997</v>
      </c>
      <c r="J270" s="42">
        <f t="shared" si="11"/>
        <v>9963.6</v>
      </c>
      <c r="K270" s="42">
        <f t="shared" si="11"/>
        <v>37568.400000000001</v>
      </c>
      <c r="L270" s="42">
        <f t="shared" si="11"/>
        <v>4045941.1799999997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f>5000+12500+576</f>
        <v>18076</v>
      </c>
      <c r="I275" s="18">
        <f>11750.6+156</f>
        <v>11906.6</v>
      </c>
      <c r="J275" s="18">
        <f>8748.64+3355</f>
        <v>12103.64</v>
      </c>
      <c r="K275" s="18"/>
      <c r="L275" s="19">
        <f>SUM(F275:K275)</f>
        <v>42086.239999999998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14000+3254+6713.4+20935.82</f>
        <v>44903.22</v>
      </c>
      <c r="G276" s="18">
        <f>758.34+78.26+111.79</f>
        <v>948.39</v>
      </c>
      <c r="H276" s="18"/>
      <c r="I276" s="18">
        <f>1260.32+5411.3</f>
        <v>6671.62</v>
      </c>
      <c r="J276" s="18">
        <f>2678.43+3873.37</f>
        <v>6551.7999999999993</v>
      </c>
      <c r="K276" s="18"/>
      <c r="L276" s="19">
        <f>SUM(F276:K276)</f>
        <v>59075.03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3948.75</v>
      </c>
      <c r="I278" s="18"/>
      <c r="J278" s="18"/>
      <c r="K278" s="18"/>
      <c r="L278" s="19">
        <f>SUM(F278:K278)</f>
        <v>3948.75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3870+4500+8568</f>
        <v>16938</v>
      </c>
      <c r="I280" s="18"/>
      <c r="J280" s="18"/>
      <c r="K280" s="18"/>
      <c r="L280" s="19">
        <f t="shared" ref="L280:L286" si="12">SUM(F280:K280)</f>
        <v>16938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1726.26</f>
        <v>1726.26</v>
      </c>
      <c r="L284" s="19">
        <f t="shared" si="12"/>
        <v>1726.26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44903.22</v>
      </c>
      <c r="G289" s="42">
        <f t="shared" si="13"/>
        <v>948.39</v>
      </c>
      <c r="H289" s="42">
        <f t="shared" si="13"/>
        <v>38962.75</v>
      </c>
      <c r="I289" s="42">
        <f t="shared" si="13"/>
        <v>18578.22</v>
      </c>
      <c r="J289" s="42">
        <f t="shared" si="13"/>
        <v>18655.439999999999</v>
      </c>
      <c r="K289" s="42">
        <f t="shared" si="13"/>
        <v>1726.26</v>
      </c>
      <c r="L289" s="41">
        <f t="shared" si="13"/>
        <v>123774.27999999998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44903.22</v>
      </c>
      <c r="G337" s="41">
        <f t="shared" si="20"/>
        <v>948.39</v>
      </c>
      <c r="H337" s="41">
        <f t="shared" si="20"/>
        <v>38962.75</v>
      </c>
      <c r="I337" s="41">
        <f t="shared" si="20"/>
        <v>18578.22</v>
      </c>
      <c r="J337" s="41">
        <f t="shared" si="20"/>
        <v>18655.439999999999</v>
      </c>
      <c r="K337" s="41">
        <f t="shared" si="20"/>
        <v>1726.26</v>
      </c>
      <c r="L337" s="41">
        <f t="shared" si="20"/>
        <v>123774.27999999998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44903.22</v>
      </c>
      <c r="G351" s="41">
        <f>G337</f>
        <v>948.39</v>
      </c>
      <c r="H351" s="41">
        <f>H337</f>
        <v>38962.75</v>
      </c>
      <c r="I351" s="41">
        <f>I337</f>
        <v>18578.22</v>
      </c>
      <c r="J351" s="41">
        <f>J337</f>
        <v>18655.439999999999</v>
      </c>
      <c r="K351" s="47">
        <f>K337+K350</f>
        <v>1726.26</v>
      </c>
      <c r="L351" s="41">
        <f>L337+L350</f>
        <v>123774.27999999998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28070.7+4234.1</f>
        <v>32304.800000000003</v>
      </c>
      <c r="G357" s="18">
        <f>9000.2+52.08+66.15+2471.13+2024.18</f>
        <v>13613.740000000002</v>
      </c>
      <c r="H357" s="18">
        <f>1081</f>
        <v>1081</v>
      </c>
      <c r="I357" s="18">
        <f>1374.78+45517.86+2938.27</f>
        <v>49830.909999999996</v>
      </c>
      <c r="J357" s="18"/>
      <c r="K357" s="18"/>
      <c r="L357" s="13">
        <f>SUM(F357:K357)</f>
        <v>96830.450000000012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32304.800000000003</v>
      </c>
      <c r="G361" s="47">
        <f t="shared" si="22"/>
        <v>13613.740000000002</v>
      </c>
      <c r="H361" s="47">
        <f t="shared" si="22"/>
        <v>1081</v>
      </c>
      <c r="I361" s="47">
        <f t="shared" si="22"/>
        <v>49830.909999999996</v>
      </c>
      <c r="J361" s="47">
        <f t="shared" si="22"/>
        <v>0</v>
      </c>
      <c r="K361" s="47">
        <f t="shared" si="22"/>
        <v>0</v>
      </c>
      <c r="L361" s="47">
        <f t="shared" si="22"/>
        <v>96830.450000000012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45517.86+2938.27</f>
        <v>48456.13</v>
      </c>
      <c r="G366" s="18" t="s">
        <v>287</v>
      </c>
      <c r="H366" s="18"/>
      <c r="I366" s="56">
        <f>SUM(F366:H366)</f>
        <v>48456.13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1374.78</v>
      </c>
      <c r="G367" s="63" t="s">
        <v>287</v>
      </c>
      <c r="H367" s="63"/>
      <c r="I367" s="56">
        <f>SUM(F367:H367)</f>
        <v>1374.78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49830.909999999996</v>
      </c>
      <c r="G368" s="47">
        <f>SUM(G366:G367)</f>
        <v>0</v>
      </c>
      <c r="H368" s="47">
        <f>SUM(H366:H367)</f>
        <v>0</v>
      </c>
      <c r="I368" s="47">
        <f>SUM(I366:I367)</f>
        <v>49830.909999999996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5.94</v>
      </c>
      <c r="I388" s="18"/>
      <c r="J388" s="24" t="s">
        <v>289</v>
      </c>
      <c r="K388" s="24" t="s">
        <v>289</v>
      </c>
      <c r="L388" s="56">
        <f t="shared" si="25"/>
        <v>5.94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5.94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5.94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29.73</v>
      </c>
      <c r="I396" s="18"/>
      <c r="J396" s="24" t="s">
        <v>289</v>
      </c>
      <c r="K396" s="24" t="s">
        <v>289</v>
      </c>
      <c r="L396" s="56">
        <f t="shared" si="26"/>
        <v>29.73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2.0099999999999998</v>
      </c>
      <c r="I397" s="18"/>
      <c r="J397" s="24" t="s">
        <v>289</v>
      </c>
      <c r="K397" s="24" t="s">
        <v>289</v>
      </c>
      <c r="L397" s="56">
        <f t="shared" si="26"/>
        <v>2.0099999999999998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31.740000000000002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31.740000000000002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37.68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37.68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104395.87</v>
      </c>
      <c r="H441" s="18"/>
      <c r="I441" s="56">
        <f t="shared" si="33"/>
        <v>104395.87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104395.87</v>
      </c>
      <c r="H445" s="13">
        <f>SUM(H438:H444)</f>
        <v>0</v>
      </c>
      <c r="I445" s="13">
        <f>SUM(I438:I444)</f>
        <v>104395.87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104395.87</v>
      </c>
      <c r="H456" s="18"/>
      <c r="I456" s="56">
        <f t="shared" si="34"/>
        <v>104395.87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104395.87</v>
      </c>
      <c r="H459" s="83">
        <f>SUM(H453:H458)</f>
        <v>0</v>
      </c>
      <c r="I459" s="83">
        <f>SUM(I453:I458)</f>
        <v>104395.87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104395.87</v>
      </c>
      <c r="H460" s="42">
        <f>H451+H459</f>
        <v>0</v>
      </c>
      <c r="I460" s="42">
        <f>I451+I459</f>
        <v>104395.87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9080.32</v>
      </c>
      <c r="G464" s="18">
        <v>778.93</v>
      </c>
      <c r="H464" s="18">
        <v>0</v>
      </c>
      <c r="I464" s="18">
        <v>0</v>
      </c>
      <c r="J464" s="18">
        <f>104395.87-37.68</f>
        <v>104358.19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4201547.52-37957.96</f>
        <v>4163589.5599999996</v>
      </c>
      <c r="G467" s="18">
        <f>24.78+35453.03+949.79+24229.3+2938.27+33235.28</f>
        <v>96830.449999999983</v>
      </c>
      <c r="H467" s="18">
        <f>123774.28</f>
        <v>123774.28</v>
      </c>
      <c r="I467" s="18"/>
      <c r="J467" s="18">
        <v>37.68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37957.96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4201547.5199999996</v>
      </c>
      <c r="G469" s="53">
        <f>SUM(G467:G468)</f>
        <v>96830.449999999983</v>
      </c>
      <c r="H469" s="53">
        <f>SUM(H467:H468)</f>
        <v>123774.28</v>
      </c>
      <c r="I469" s="53">
        <f>SUM(I467:I468)</f>
        <v>0</v>
      </c>
      <c r="J469" s="53">
        <f>SUM(J467:J468)</f>
        <v>37.68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4045941.18</v>
      </c>
      <c r="G471" s="18">
        <f>96830.45</f>
        <v>96830.45</v>
      </c>
      <c r="H471" s="18">
        <v>123774.28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4045941.18</v>
      </c>
      <c r="G473" s="53">
        <f>SUM(G471:G472)</f>
        <v>96830.45</v>
      </c>
      <c r="H473" s="53">
        <f>SUM(H471:H472)</f>
        <v>123774.28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164686.65999999968</v>
      </c>
      <c r="G475" s="53">
        <f>(G464+G469)- G473</f>
        <v>778.92999999997846</v>
      </c>
      <c r="H475" s="53">
        <f>(H464+H469)- H473</f>
        <v>0</v>
      </c>
      <c r="I475" s="53">
        <f>(I464+I469)- I473</f>
        <v>0</v>
      </c>
      <c r="J475" s="53">
        <f>(J464+J469)- J473</f>
        <v>104395.87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192237.98</v>
      </c>
      <c r="G520" s="18">
        <v>93017.94</v>
      </c>
      <c r="H520" s="18">
        <v>64649.43</v>
      </c>
      <c r="I520" s="18">
        <v>2088.33</v>
      </c>
      <c r="J520" s="18"/>
      <c r="K520" s="18">
        <v>635</v>
      </c>
      <c r="L520" s="88">
        <f>SUM(F520:K520)</f>
        <v>352628.68000000005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141849.5</v>
      </c>
      <c r="I522" s="18"/>
      <c r="J522" s="18"/>
      <c r="K522" s="18"/>
      <c r="L522" s="88">
        <f>SUM(F522:K522)</f>
        <v>141849.5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192237.98</v>
      </c>
      <c r="G523" s="108">
        <f t="shared" ref="G523:L523" si="36">SUM(G520:G522)</f>
        <v>93017.94</v>
      </c>
      <c r="H523" s="108">
        <f t="shared" si="36"/>
        <v>206498.93</v>
      </c>
      <c r="I523" s="108">
        <f t="shared" si="36"/>
        <v>2088.33</v>
      </c>
      <c r="J523" s="108">
        <f t="shared" si="36"/>
        <v>0</v>
      </c>
      <c r="K523" s="108">
        <f t="shared" si="36"/>
        <v>635</v>
      </c>
      <c r="L523" s="89">
        <f t="shared" si="36"/>
        <v>494478.18000000005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212074.08</v>
      </c>
      <c r="I525" s="18"/>
      <c r="J525" s="18"/>
      <c r="K525" s="18"/>
      <c r="L525" s="88">
        <f>SUM(F525:K525)</f>
        <v>212074.08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212074.08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212074.08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24526</v>
      </c>
      <c r="G530" s="18"/>
      <c r="H530" s="18"/>
      <c r="I530" s="18"/>
      <c r="J530" s="18"/>
      <c r="K530" s="18"/>
      <c r="L530" s="88">
        <f>SUM(F530:K530)</f>
        <v>24526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24526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24526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301.07</v>
      </c>
      <c r="I535" s="18"/>
      <c r="J535" s="18"/>
      <c r="K535" s="18"/>
      <c r="L535" s="88">
        <f>SUM(F535:K535)</f>
        <v>301.07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301.07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301.07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/>
      <c r="H540" s="18">
        <v>14410.33</v>
      </c>
      <c r="I540" s="18"/>
      <c r="J540" s="18"/>
      <c r="K540" s="18"/>
      <c r="L540" s="88">
        <f>SUM(F540:K540)</f>
        <v>14410.33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/>
      <c r="H542" s="18">
        <v>40673.75</v>
      </c>
      <c r="I542" s="18"/>
      <c r="J542" s="18"/>
      <c r="K542" s="18"/>
      <c r="L542" s="88">
        <f>SUM(F542:K542)</f>
        <v>40673.75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55084.08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55084.08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216763.98</v>
      </c>
      <c r="G544" s="89">
        <f t="shared" ref="G544:L544" si="41">G523+G528+G533+G538+G543</f>
        <v>93017.94</v>
      </c>
      <c r="H544" s="89">
        <f t="shared" si="41"/>
        <v>473958.16000000003</v>
      </c>
      <c r="I544" s="89">
        <f t="shared" si="41"/>
        <v>2088.33</v>
      </c>
      <c r="J544" s="89">
        <f t="shared" si="41"/>
        <v>0</v>
      </c>
      <c r="K544" s="89">
        <f t="shared" si="41"/>
        <v>635</v>
      </c>
      <c r="L544" s="89">
        <f t="shared" si="41"/>
        <v>786463.40999999992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352628.68000000005</v>
      </c>
      <c r="G548" s="87">
        <f>L525</f>
        <v>212074.08</v>
      </c>
      <c r="H548" s="87">
        <f>L530</f>
        <v>24526</v>
      </c>
      <c r="I548" s="87">
        <f>L535</f>
        <v>301.07</v>
      </c>
      <c r="J548" s="87">
        <f>L540</f>
        <v>14410.33</v>
      </c>
      <c r="K548" s="87">
        <f>SUM(F548:J548)</f>
        <v>603940.15999999992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141849.5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40673.75</v>
      </c>
      <c r="K550" s="87">
        <f>SUM(F550:J550)</f>
        <v>182523.25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494478.18000000005</v>
      </c>
      <c r="G551" s="89">
        <f t="shared" si="42"/>
        <v>212074.08</v>
      </c>
      <c r="H551" s="89">
        <f t="shared" si="42"/>
        <v>24526</v>
      </c>
      <c r="I551" s="89">
        <f t="shared" si="42"/>
        <v>301.07</v>
      </c>
      <c r="J551" s="89">
        <f t="shared" si="42"/>
        <v>55084.08</v>
      </c>
      <c r="K551" s="89">
        <f t="shared" si="42"/>
        <v>786463.40999999992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>
        <v>1236</v>
      </c>
      <c r="H561" s="18">
        <v>261.87</v>
      </c>
      <c r="I561" s="18">
        <v>1772.4</v>
      </c>
      <c r="J561" s="18"/>
      <c r="K561" s="18"/>
      <c r="L561" s="88">
        <f>SUM(F561:K561)</f>
        <v>3270.27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1236</v>
      </c>
      <c r="H564" s="89">
        <f t="shared" si="44"/>
        <v>261.87</v>
      </c>
      <c r="I564" s="89">
        <f t="shared" si="44"/>
        <v>1772.4</v>
      </c>
      <c r="J564" s="89">
        <f t="shared" si="44"/>
        <v>0</v>
      </c>
      <c r="K564" s="89">
        <f t="shared" si="44"/>
        <v>0</v>
      </c>
      <c r="L564" s="89">
        <f t="shared" si="44"/>
        <v>3270.27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1236</v>
      </c>
      <c r="H570" s="89">
        <f t="shared" si="46"/>
        <v>261.87</v>
      </c>
      <c r="I570" s="89">
        <f t="shared" si="46"/>
        <v>1772.4</v>
      </c>
      <c r="J570" s="89">
        <f t="shared" si="46"/>
        <v>0</v>
      </c>
      <c r="K570" s="89">
        <f t="shared" si="46"/>
        <v>0</v>
      </c>
      <c r="L570" s="89">
        <f t="shared" si="46"/>
        <v>3270.27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955853.89</v>
      </c>
      <c r="I574" s="87">
        <f>SUM(F574:H574)</f>
        <v>955853.89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61285.13</v>
      </c>
      <c r="G578" s="18" t="s">
        <v>287</v>
      </c>
      <c r="H578" s="18">
        <v>141849.5</v>
      </c>
      <c r="I578" s="87">
        <f t="shared" si="47"/>
        <v>203134.63</v>
      </c>
      <c r="J578" s="24" t="s">
        <v>289</v>
      </c>
      <c r="K578" s="24" t="s">
        <v>289</v>
      </c>
      <c r="L578" s="24" t="s">
        <v>289</v>
      </c>
      <c r="M578" s="8" t="s">
        <v>287</v>
      </c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115311.74</v>
      </c>
      <c r="I590" s="18"/>
      <c r="J590" s="18">
        <v>120770</v>
      </c>
      <c r="K590" s="104">
        <f t="shared" ref="K590:K596" si="48">SUM(H590:J590)</f>
        <v>236081.74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14410.33</v>
      </c>
      <c r="I591" s="18"/>
      <c r="J591" s="18">
        <v>40673.75</v>
      </c>
      <c r="K591" s="104">
        <f t="shared" si="48"/>
        <v>55084.08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3271.76</v>
      </c>
      <c r="I593" s="18"/>
      <c r="J593" s="18"/>
      <c r="K593" s="104">
        <f t="shared" si="48"/>
        <v>3271.76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3225.52</v>
      </c>
      <c r="I594" s="18"/>
      <c r="J594" s="18"/>
      <c r="K594" s="104">
        <f t="shared" si="48"/>
        <v>3225.52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136219.35</v>
      </c>
      <c r="I597" s="108">
        <f>SUM(I590:I596)</f>
        <v>0</v>
      </c>
      <c r="J597" s="108">
        <f>SUM(J590:J596)</f>
        <v>161443.75</v>
      </c>
      <c r="K597" s="108">
        <f>SUM(K590:K596)</f>
        <v>297663.10000000003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29294.04-675</f>
        <v>28619.040000000001</v>
      </c>
      <c r="I603" s="18"/>
      <c r="J603" s="18"/>
      <c r="K603" s="104">
        <f>SUM(H603:J603)</f>
        <v>28619.040000000001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28619.040000000001</v>
      </c>
      <c r="I604" s="108">
        <f>SUM(I601:I603)</f>
        <v>0</v>
      </c>
      <c r="J604" s="108">
        <f>SUM(J601:J603)</f>
        <v>0</v>
      </c>
      <c r="K604" s="108">
        <f>SUM(K601:K603)</f>
        <v>28619.040000000001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364125.46</v>
      </c>
      <c r="H616" s="109">
        <f>SUM(F51)</f>
        <v>364125.45999999996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10771.2</v>
      </c>
      <c r="H617" s="109">
        <f>SUM(G51)</f>
        <v>10771.2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64818.81</v>
      </c>
      <c r="H618" s="109">
        <f>SUM(H51)</f>
        <v>64818.81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104395.87</v>
      </c>
      <c r="H620" s="109">
        <f>SUM(J51)</f>
        <v>104395.87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164686.66</v>
      </c>
      <c r="H621" s="109">
        <f>F475</f>
        <v>164686.65999999968</v>
      </c>
      <c r="I621" s="121" t="s">
        <v>101</v>
      </c>
      <c r="J621" s="109">
        <f t="shared" ref="J621:J654" si="50">G621-H621</f>
        <v>3.2014213502407074E-10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778.93000000000006</v>
      </c>
      <c r="H622" s="109">
        <f>G475</f>
        <v>778.92999999997846</v>
      </c>
      <c r="I622" s="121" t="s">
        <v>102</v>
      </c>
      <c r="J622" s="109">
        <f t="shared" si="50"/>
        <v>2.1600499167107046E-11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104395.87</v>
      </c>
      <c r="H625" s="109">
        <f>J475</f>
        <v>104395.87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4163589.5599999996</v>
      </c>
      <c r="H626" s="104">
        <f>SUM(F467)</f>
        <v>4163589.5599999996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96830.45</v>
      </c>
      <c r="H627" s="104">
        <f>SUM(G467)</f>
        <v>96830.449999999983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123774.28</v>
      </c>
      <c r="H628" s="104">
        <f>SUM(H467)</f>
        <v>123774.28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37.68</v>
      </c>
      <c r="H630" s="104">
        <f>SUM(J467)</f>
        <v>37.68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4045941.1799999997</v>
      </c>
      <c r="H631" s="104">
        <f>SUM(F471)</f>
        <v>4045941.18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123774.27999999998</v>
      </c>
      <c r="H632" s="104">
        <f>SUM(H471)</f>
        <v>123774.28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49830.909999999996</v>
      </c>
      <c r="H633" s="104">
        <f>I368</f>
        <v>49830.909999999996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96830.450000000012</v>
      </c>
      <c r="H634" s="104">
        <f>SUM(G471)</f>
        <v>96830.45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37.68</v>
      </c>
      <c r="H636" s="164">
        <f>SUM(J467)</f>
        <v>37.68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104395.87</v>
      </c>
      <c r="H639" s="104">
        <f>SUM(G460)</f>
        <v>104395.87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104395.87</v>
      </c>
      <c r="H641" s="104">
        <f>SUM(I460)</f>
        <v>104395.87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37.68</v>
      </c>
      <c r="H643" s="104">
        <f>H407</f>
        <v>37.68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37.68</v>
      </c>
      <c r="H645" s="104">
        <f>L407</f>
        <v>37.68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297663.10000000003</v>
      </c>
      <c r="H646" s="104">
        <f>L207+L225+L243</f>
        <v>297663.09999999998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28619.040000000001</v>
      </c>
      <c r="H647" s="104">
        <f>(J256+J337)-(J254+J335)</f>
        <v>28619.040000000001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136219.35</v>
      </c>
      <c r="H648" s="104">
        <f>H597</f>
        <v>136219.35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161443.75</v>
      </c>
      <c r="H650" s="104">
        <f>J597</f>
        <v>161443.75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33235.279999999999</v>
      </c>
      <c r="H651" s="104">
        <f>K262+K344</f>
        <v>33235.279999999999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2974163.4899999998</v>
      </c>
      <c r="G659" s="19">
        <f>(L228+L308+L358)</f>
        <v>0</v>
      </c>
      <c r="H659" s="19">
        <f>(L246+L327+L359)</f>
        <v>1259147.1400000001</v>
      </c>
      <c r="I659" s="19">
        <f>SUM(F659:H659)</f>
        <v>4233310.63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35453.03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35453.03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136219.35</v>
      </c>
      <c r="G661" s="19">
        <f>(L225+L305)-(J225+J305)</f>
        <v>0</v>
      </c>
      <c r="H661" s="19">
        <f>(L243+L324)-(J243+J324)</f>
        <v>161443.75</v>
      </c>
      <c r="I661" s="19">
        <f>SUM(F661:H661)</f>
        <v>297663.09999999998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89904.17</v>
      </c>
      <c r="G662" s="200">
        <f>SUM(G574:G586)+SUM(I601:I603)+L611</f>
        <v>0</v>
      </c>
      <c r="H662" s="200">
        <f>SUM(H574:H586)+SUM(J601:J603)+L612</f>
        <v>1097703.3900000001</v>
      </c>
      <c r="I662" s="19">
        <f>SUM(F662:H662)</f>
        <v>1187607.56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2712586.94</v>
      </c>
      <c r="G663" s="19">
        <f>G659-SUM(G660:G662)</f>
        <v>0</v>
      </c>
      <c r="H663" s="19">
        <f>H659-SUM(H660:H662)</f>
        <v>0</v>
      </c>
      <c r="I663" s="19">
        <f>I659-SUM(I660:I662)</f>
        <v>2712586.94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210.96</v>
      </c>
      <c r="G664" s="249"/>
      <c r="H664" s="249"/>
      <c r="I664" s="19">
        <f>SUM(F664:H664)</f>
        <v>210.96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12858.3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12858.3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12858.3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12858.3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Andover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976826.0199999999</v>
      </c>
      <c r="C9" s="230">
        <f>'DOE25'!G196+'DOE25'!G214+'DOE25'!G232+'DOE25'!G275+'DOE25'!G294+'DOE25'!G313</f>
        <v>422194.53</v>
      </c>
    </row>
    <row r="10" spans="1:3" x14ac:dyDescent="0.2">
      <c r="A10" t="s">
        <v>779</v>
      </c>
      <c r="B10" s="241">
        <f>128962+449988.68+353677</f>
        <v>932627.67999999993</v>
      </c>
      <c r="C10" s="241">
        <v>400254.39</v>
      </c>
    </row>
    <row r="11" spans="1:3" x14ac:dyDescent="0.2">
      <c r="A11" t="s">
        <v>780</v>
      </c>
      <c r="B11" s="241">
        <f>13274.97+30923.37</f>
        <v>44198.34</v>
      </c>
      <c r="C11" s="241">
        <v>21940.14</v>
      </c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976826.0199999999</v>
      </c>
      <c r="C13" s="232">
        <f>SUM(C10:C12)</f>
        <v>422194.53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237141.2</v>
      </c>
      <c r="C18" s="230">
        <f>'DOE25'!G197+'DOE25'!G215+'DOE25'!G233+'DOE25'!G276+'DOE25'!G295+'DOE25'!G314</f>
        <v>93966.33</v>
      </c>
    </row>
    <row r="19" spans="1:3" x14ac:dyDescent="0.2">
      <c r="A19" t="s">
        <v>779</v>
      </c>
      <c r="B19" s="241">
        <f>164354+38189.82</f>
        <v>202543.82</v>
      </c>
      <c r="C19" s="241">
        <f>62855.08+756.38</f>
        <v>63611.46</v>
      </c>
    </row>
    <row r="20" spans="1:3" x14ac:dyDescent="0.2">
      <c r="A20" t="s">
        <v>780</v>
      </c>
      <c r="B20" s="241">
        <f>27883.98+6713.4</f>
        <v>34597.379999999997</v>
      </c>
      <c r="C20" s="241">
        <f>30162.86+192.01</f>
        <v>30354.87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237141.2</v>
      </c>
      <c r="C22" s="232">
        <f>SUM(C19:C21)</f>
        <v>93966.33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10900</v>
      </c>
      <c r="C36" s="236">
        <f>'DOE25'!G199+'DOE25'!G217+'DOE25'!G235+'DOE25'!G278+'DOE25'!G297+'DOE25'!G316</f>
        <v>1891.89</v>
      </c>
    </row>
    <row r="37" spans="1:3" x14ac:dyDescent="0.2">
      <c r="A37" t="s">
        <v>779</v>
      </c>
      <c r="B37" s="241">
        <v>10900</v>
      </c>
      <c r="C37" s="241">
        <v>1891.89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10900</v>
      </c>
      <c r="C40" s="232">
        <f>SUM(C37:C39)</f>
        <v>1891.89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3" sqref="E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Andover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2912415.75</v>
      </c>
      <c r="D5" s="20">
        <f>SUM('DOE25'!L196:L199)+SUM('DOE25'!L214:L217)+SUM('DOE25'!L232:L235)-F5-G5</f>
        <v>2911700.75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715</v>
      </c>
      <c r="H5" s="260"/>
    </row>
    <row r="6" spans="1:9" x14ac:dyDescent="0.2">
      <c r="A6" s="32">
        <v>2100</v>
      </c>
      <c r="B6" t="s">
        <v>801</v>
      </c>
      <c r="C6" s="246">
        <f t="shared" si="0"/>
        <v>212074.08000000002</v>
      </c>
      <c r="D6" s="20">
        <f>'DOE25'!L201+'DOE25'!L219+'DOE25'!L237-F6-G6</f>
        <v>212074.08000000002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56546.05999999999</v>
      </c>
      <c r="D7" s="20">
        <f>'DOE25'!L202+'DOE25'!L220+'DOE25'!L238-F7-G7</f>
        <v>52483.539999999994</v>
      </c>
      <c r="E7" s="244"/>
      <c r="F7" s="256">
        <f>'DOE25'!J202+'DOE25'!J220+'DOE25'!J238</f>
        <v>4062.52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101141.46000000002</v>
      </c>
      <c r="D8" s="244"/>
      <c r="E8" s="20">
        <f>'DOE25'!L203+'DOE25'!L221+'DOE25'!L239-F8-G8-D9-D11</f>
        <v>98198.340000000026</v>
      </c>
      <c r="F8" s="256">
        <f>'DOE25'!J203+'DOE25'!J221+'DOE25'!J239</f>
        <v>0</v>
      </c>
      <c r="G8" s="53">
        <f>'DOE25'!K203+'DOE25'!K221+'DOE25'!K239</f>
        <v>2943.12</v>
      </c>
      <c r="H8" s="260"/>
    </row>
    <row r="9" spans="1:9" x14ac:dyDescent="0.2">
      <c r="A9" s="32">
        <v>2310</v>
      </c>
      <c r="B9" t="s">
        <v>818</v>
      </c>
      <c r="C9" s="246">
        <f t="shared" si="0"/>
        <v>6699.12</v>
      </c>
      <c r="D9" s="245">
        <f>6542.42+156.7</f>
        <v>6699.12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6000</v>
      </c>
      <c r="D10" s="244"/>
      <c r="E10" s="245">
        <v>6000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37192.269999999997</v>
      </c>
      <c r="D11" s="245">
        <v>37192.269999999997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171759.8</v>
      </c>
      <c r="D12" s="20">
        <f>'DOE25'!L204+'DOE25'!L222+'DOE25'!L240-F12-G12</f>
        <v>165318.46</v>
      </c>
      <c r="E12" s="244"/>
      <c r="F12" s="256">
        <f>'DOE25'!J204+'DOE25'!J222+'DOE25'!J240</f>
        <v>5766.34</v>
      </c>
      <c r="G12" s="53">
        <f>'DOE25'!K204+'DOE25'!K222+'DOE25'!K240</f>
        <v>675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217214.25999999998</v>
      </c>
      <c r="D14" s="20">
        <f>'DOE25'!L206+'DOE25'!L224+'DOE25'!L242-F14-G14</f>
        <v>217079.52</v>
      </c>
      <c r="E14" s="244"/>
      <c r="F14" s="256">
        <f>'DOE25'!J206+'DOE25'!J224+'DOE25'!J242</f>
        <v>134.74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297663.09999999998</v>
      </c>
      <c r="D15" s="20">
        <f>'DOE25'!L207+'DOE25'!L225+'DOE25'!L243-F15-G15</f>
        <v>297663.09999999998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48374.320000000014</v>
      </c>
      <c r="D29" s="20">
        <f>'DOE25'!L357+'DOE25'!L358+'DOE25'!L359-'DOE25'!I366-F29-G29</f>
        <v>48374.320000000014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123774.27999999998</v>
      </c>
      <c r="D31" s="20">
        <f>'DOE25'!L289+'DOE25'!L308+'DOE25'!L327+'DOE25'!L332+'DOE25'!L333+'DOE25'!L334-F31-G31</f>
        <v>103392.57999999999</v>
      </c>
      <c r="E31" s="244"/>
      <c r="F31" s="256">
        <f>'DOE25'!J289+'DOE25'!J308+'DOE25'!J327+'DOE25'!J332+'DOE25'!J333+'DOE25'!J334</f>
        <v>18655.439999999999</v>
      </c>
      <c r="G31" s="53">
        <f>'DOE25'!K289+'DOE25'!K308+'DOE25'!K327+'DOE25'!K332+'DOE25'!K333+'DOE25'!K334</f>
        <v>1726.26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4051977.74</v>
      </c>
      <c r="E33" s="247">
        <f>SUM(E5:E31)</f>
        <v>104198.34000000003</v>
      </c>
      <c r="F33" s="247">
        <f>SUM(F5:F31)</f>
        <v>28619.040000000001</v>
      </c>
      <c r="G33" s="247">
        <f>SUM(G5:G31)</f>
        <v>6059.38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104198.34000000003</v>
      </c>
      <c r="E35" s="250"/>
    </row>
    <row r="36" spans="2:8" ht="12" thickTop="1" x14ac:dyDescent="0.2">
      <c r="B36" t="s">
        <v>815</v>
      </c>
      <c r="D36" s="20">
        <f>D33</f>
        <v>4051977.74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15" zoomScaleNormal="115" workbookViewId="0">
      <pane ySplit="2" topLeftCell="A81" activePane="bottomLeft" state="frozen"/>
      <selection pane="bottomLeft" activeCell="D95" sqref="D9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57327.75</v>
      </c>
      <c r="D8" s="95">
        <f>'DOE25'!G9</f>
        <v>2682.84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239836.28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62304.94</v>
      </c>
      <c r="D11" s="95">
        <f>'DOE25'!G12</f>
        <v>0</v>
      </c>
      <c r="E11" s="95">
        <f>'DOE25'!H12</f>
        <v>4315.3500000000004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4656.49</v>
      </c>
      <c r="D12" s="95">
        <f>'DOE25'!G13</f>
        <v>7310.02</v>
      </c>
      <c r="E12" s="95">
        <f>'DOE25'!H13</f>
        <v>60503.46</v>
      </c>
      <c r="F12" s="95">
        <f>'DOE25'!I13</f>
        <v>0</v>
      </c>
      <c r="G12" s="95">
        <f>'DOE25'!J13</f>
        <v>104395.87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778.34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364125.46</v>
      </c>
      <c r="D18" s="41">
        <f>SUM(D8:D17)</f>
        <v>10771.2</v>
      </c>
      <c r="E18" s="41">
        <f>SUM(E8:E17)</f>
        <v>64818.81</v>
      </c>
      <c r="F18" s="41">
        <f>SUM(F8:F17)</f>
        <v>0</v>
      </c>
      <c r="G18" s="41">
        <f>SUM(G8:G17)</f>
        <v>104395.87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57904.14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6026.15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19327.97</v>
      </c>
      <c r="D23" s="95">
        <f>'DOE25'!G24</f>
        <v>0</v>
      </c>
      <c r="E23" s="95">
        <f>'DOE25'!H24</f>
        <v>2599.3200000000002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3966.12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160110.82999999999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4315.3500000000004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20000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199438.8</v>
      </c>
      <c r="D31" s="41">
        <f>SUM(D21:D30)</f>
        <v>9992.27</v>
      </c>
      <c r="E31" s="41">
        <f>SUM(E21:E30)</f>
        <v>64818.81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778.34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104395.87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 t="str">
        <f>'DOE25'!H45</f>
        <v xml:space="preserve"> 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0.59</v>
      </c>
      <c r="E47" s="95" t="str">
        <f>'DOE25'!H48</f>
        <v xml:space="preserve"> 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164686.66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164686.66</v>
      </c>
      <c r="D49" s="41">
        <f>SUM(D34:D48)</f>
        <v>778.93000000000006</v>
      </c>
      <c r="E49" s="41">
        <f>SUM(E34:E48)</f>
        <v>0</v>
      </c>
      <c r="F49" s="41">
        <f>SUM(F34:F48)</f>
        <v>0</v>
      </c>
      <c r="G49" s="41">
        <f>SUM(G34:G48)</f>
        <v>104395.87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364125.45999999996</v>
      </c>
      <c r="D50" s="41">
        <f>D49+D31</f>
        <v>10771.2</v>
      </c>
      <c r="E50" s="41">
        <f>E49+E31</f>
        <v>64818.81</v>
      </c>
      <c r="F50" s="41">
        <f>F49+F31</f>
        <v>0</v>
      </c>
      <c r="G50" s="41">
        <f>G49+G31</f>
        <v>104395.87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2712281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392.39</v>
      </c>
      <c r="D58" s="95">
        <f>'DOE25'!G95</f>
        <v>24.78</v>
      </c>
      <c r="E58" s="95">
        <f>'DOE25'!H95</f>
        <v>0</v>
      </c>
      <c r="F58" s="95">
        <f>'DOE25'!I95</f>
        <v>0</v>
      </c>
      <c r="G58" s="95">
        <f>'DOE25'!J95</f>
        <v>37.68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35453.03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2835.3900000000003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3227.78</v>
      </c>
      <c r="D61" s="130">
        <f>SUM(D56:D60)</f>
        <v>35477.81</v>
      </c>
      <c r="E61" s="130">
        <f>SUM(E56:E60)</f>
        <v>0</v>
      </c>
      <c r="F61" s="130">
        <f>SUM(F56:F60)</f>
        <v>0</v>
      </c>
      <c r="G61" s="130">
        <f>SUM(G56:G60)</f>
        <v>37.68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2715508.78</v>
      </c>
      <c r="D62" s="22">
        <f>D55+D61</f>
        <v>35477.81</v>
      </c>
      <c r="E62" s="22">
        <f>E55+E61</f>
        <v>0</v>
      </c>
      <c r="F62" s="22">
        <f>F55+F61</f>
        <v>0</v>
      </c>
      <c r="G62" s="22">
        <f>G55+G61</f>
        <v>37.68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821984.81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585482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712.19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1408179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21289.279999999999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949.79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21289.279999999999</v>
      </c>
      <c r="D77" s="130">
        <f>SUM(D71:D76)</f>
        <v>949.79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1429468.28</v>
      </c>
      <c r="D80" s="130">
        <f>SUM(D78:D79)+D77+D69</f>
        <v>949.79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18612.5</v>
      </c>
      <c r="D87" s="95">
        <f>SUM('DOE25'!G152:G160)</f>
        <v>24229.3</v>
      </c>
      <c r="E87" s="95">
        <f>SUM('DOE25'!H152:H160)</f>
        <v>123774.28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2938.27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18612.5</v>
      </c>
      <c r="D90" s="131">
        <f>SUM(D84:D89)</f>
        <v>27167.57</v>
      </c>
      <c r="E90" s="131">
        <f>SUM(E84:E89)</f>
        <v>123774.28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33235.279999999999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33235.279999999999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4163589.5599999996</v>
      </c>
      <c r="D103" s="86">
        <f>D62+D80+D90+D102</f>
        <v>96830.45</v>
      </c>
      <c r="E103" s="86">
        <f>E62+E80+E90+E102</f>
        <v>123774.28</v>
      </c>
      <c r="F103" s="86">
        <f>F62+F80+F90+F102</f>
        <v>0</v>
      </c>
      <c r="G103" s="86">
        <f>G62+G80+G102</f>
        <v>37.68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2400234.0499999998</v>
      </c>
      <c r="D108" s="24" t="s">
        <v>289</v>
      </c>
      <c r="E108" s="95">
        <f>('DOE25'!L275)+('DOE25'!L294)+('DOE25'!L313)</f>
        <v>42086.239999999998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494478.18000000005</v>
      </c>
      <c r="D109" s="24" t="s">
        <v>289</v>
      </c>
      <c r="E109" s="95">
        <f>('DOE25'!L276)+('DOE25'!L295)+('DOE25'!L314)</f>
        <v>59075.03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17703.52</v>
      </c>
      <c r="D111" s="24" t="s">
        <v>289</v>
      </c>
      <c r="E111" s="95">
        <f>+('DOE25'!L278)+('DOE25'!L297)+('DOE25'!L316)</f>
        <v>3948.75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2912415.75</v>
      </c>
      <c r="D114" s="86">
        <f>SUM(D108:D113)</f>
        <v>0</v>
      </c>
      <c r="E114" s="86">
        <f>SUM(E108:E113)</f>
        <v>105110.01999999999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212074.08000000002</v>
      </c>
      <c r="D117" s="24" t="s">
        <v>289</v>
      </c>
      <c r="E117" s="95">
        <f>+('DOE25'!L280)+('DOE25'!L299)+('DOE25'!L318)</f>
        <v>16938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56546.05999999999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145032.85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171759.8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1726.26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217214.25999999998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297663.09999999998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96830.450000000012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1100290.1499999999</v>
      </c>
      <c r="D127" s="86">
        <f>SUM(D117:D126)</f>
        <v>96830.450000000012</v>
      </c>
      <c r="E127" s="86">
        <f>SUM(E117:E126)</f>
        <v>18664.259999999998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33235.279999999999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5.94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31.740000000000002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-37.68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33235.279999999999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4045941.1799999997</v>
      </c>
      <c r="D144" s="86">
        <f>(D114+D127+D143)</f>
        <v>96830.450000000012</v>
      </c>
      <c r="E144" s="86">
        <f>(E114+E127+E143)</f>
        <v>123774.27999999998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Andover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12858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12858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2442320</v>
      </c>
      <c r="D10" s="182">
        <f>ROUND((C10/$C$28)*100,1)</f>
        <v>58.2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553553</v>
      </c>
      <c r="D11" s="182">
        <f>ROUND((C11/$C$28)*100,1)</f>
        <v>13.2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21652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229012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56546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145033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171760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1726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217214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297663</v>
      </c>
      <c r="D21" s="182">
        <f t="shared" si="0"/>
        <v>7.1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61376.97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4197855.97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4197855.97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2712281</v>
      </c>
      <c r="D35" s="182">
        <f t="shared" ref="D35:D40" si="1">ROUND((C35/$C$41)*100,1)</f>
        <v>62.8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3290.2400000002235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1408179</v>
      </c>
      <c r="D37" s="182">
        <f t="shared" si="1"/>
        <v>32.6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22239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169554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4315543.24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Andover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2012-09-11T17:41:19Z</cp:lastPrinted>
  <dcterms:created xsi:type="dcterms:W3CDTF">1997-12-04T19:04:30Z</dcterms:created>
  <dcterms:modified xsi:type="dcterms:W3CDTF">2012-11-28T15:01:47Z</dcterms:modified>
</cp:coreProperties>
</file>