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610" i="1" l="1"/>
  <c r="G610" i="1"/>
  <c r="F610" i="1"/>
  <c r="H522" i="1"/>
  <c r="H521" i="1"/>
  <c r="H520" i="1"/>
  <c r="H471" i="1"/>
  <c r="F471" i="1"/>
  <c r="H467" i="1"/>
  <c r="F467" i="1"/>
  <c r="F275" i="1"/>
  <c r="F196" i="1"/>
  <c r="H580" i="1"/>
  <c r="H581" i="1"/>
  <c r="G581" i="1"/>
  <c r="F581" i="1"/>
  <c r="G357" i="1" l="1"/>
  <c r="F366" i="1"/>
  <c r="F367" i="1"/>
  <c r="H281" i="1"/>
  <c r="I281" i="1"/>
  <c r="G280" i="1"/>
  <c r="F280" i="1"/>
  <c r="H280" i="1"/>
  <c r="I280" i="1"/>
  <c r="H207" i="1"/>
  <c r="H243" i="1"/>
  <c r="H206" i="1"/>
  <c r="H208" i="1"/>
  <c r="H204" i="1"/>
  <c r="H203" i="1"/>
  <c r="I202" i="1"/>
  <c r="H202" i="1"/>
  <c r="G202" i="1"/>
  <c r="F202" i="1"/>
  <c r="I201" i="1"/>
  <c r="K201" i="1"/>
  <c r="H201" i="1"/>
  <c r="G201" i="1"/>
  <c r="F201" i="1"/>
  <c r="G199" i="1"/>
  <c r="F199" i="1"/>
  <c r="I199" i="1"/>
  <c r="H199" i="1"/>
  <c r="I197" i="1"/>
  <c r="G197" i="1"/>
  <c r="F197" i="1"/>
  <c r="H233" i="1"/>
  <c r="H215" i="1"/>
  <c r="H197" i="1"/>
  <c r="H196" i="1"/>
  <c r="F40" i="2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G31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2" i="10"/>
  <c r="C13" i="10"/>
  <c r="C15" i="10"/>
  <c r="C16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H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I19" i="1"/>
  <c r="F32" i="1"/>
  <c r="G32" i="1"/>
  <c r="H32" i="1"/>
  <c r="I32" i="1"/>
  <c r="F50" i="1"/>
  <c r="G50" i="1"/>
  <c r="G622" i="1" s="1"/>
  <c r="H50" i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I337" i="1" s="1"/>
  <c r="I351" i="1" s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I368" i="1" s="1"/>
  <c r="H633" i="1" s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I407" i="1" s="1"/>
  <c r="F400" i="1"/>
  <c r="G400" i="1"/>
  <c r="H400" i="1"/>
  <c r="I400" i="1"/>
  <c r="F406" i="1"/>
  <c r="G406" i="1"/>
  <c r="H406" i="1"/>
  <c r="I406" i="1"/>
  <c r="L412" i="1"/>
  <c r="L413" i="1"/>
  <c r="L414" i="1"/>
  <c r="L415" i="1"/>
  <c r="L416" i="1"/>
  <c r="L417" i="1"/>
  <c r="F418" i="1"/>
  <c r="G418" i="1"/>
  <c r="H418" i="1"/>
  <c r="I418" i="1"/>
  <c r="J418" i="1"/>
  <c r="J433" i="1" s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F433" i="1" s="1"/>
  <c r="G432" i="1"/>
  <c r="H432" i="1"/>
  <c r="I432" i="1"/>
  <c r="J432" i="1"/>
  <c r="H433" i="1"/>
  <c r="F445" i="1"/>
  <c r="G445" i="1"/>
  <c r="H445" i="1"/>
  <c r="F451" i="1"/>
  <c r="G451" i="1"/>
  <c r="H451" i="1"/>
  <c r="I451" i="1"/>
  <c r="I460" i="1" s="1"/>
  <c r="H641" i="1" s="1"/>
  <c r="F459" i="1"/>
  <c r="G459" i="1"/>
  <c r="G460" i="1" s="1"/>
  <c r="H639" i="1" s="1"/>
  <c r="H459" i="1"/>
  <c r="I459" i="1"/>
  <c r="F460" i="1"/>
  <c r="H638" i="1" s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8" i="1"/>
  <c r="G619" i="1"/>
  <c r="J619" i="1" s="1"/>
  <c r="G621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G639" i="1"/>
  <c r="G640" i="1"/>
  <c r="H640" i="1"/>
  <c r="G642" i="1"/>
  <c r="G643" i="1"/>
  <c r="G644" i="1"/>
  <c r="H646" i="1"/>
  <c r="G648" i="1"/>
  <c r="G649" i="1"/>
  <c r="G650" i="1"/>
  <c r="G651" i="1"/>
  <c r="J651" i="1" s="1"/>
  <c r="H651" i="1"/>
  <c r="G652" i="1"/>
  <c r="H652" i="1"/>
  <c r="G653" i="1"/>
  <c r="H653" i="1"/>
  <c r="H654" i="1"/>
  <c r="F191" i="1"/>
  <c r="L255" i="1"/>
  <c r="L256" i="1" s="1"/>
  <c r="L270" i="1" s="1"/>
  <c r="G631" i="1" s="1"/>
  <c r="K256" i="1"/>
  <c r="K270" i="1" s="1"/>
  <c r="I256" i="1"/>
  <c r="I270" i="1" s="1"/>
  <c r="G256" i="1"/>
  <c r="G270" i="1" s="1"/>
  <c r="G163" i="2"/>
  <c r="F31" i="2"/>
  <c r="C26" i="10"/>
  <c r="L327" i="1"/>
  <c r="H659" i="1" s="1"/>
  <c r="L350" i="1"/>
  <c r="I661" i="1"/>
  <c r="A31" i="12"/>
  <c r="A40" i="12"/>
  <c r="D12" i="13"/>
  <c r="C12" i="13" s="1"/>
  <c r="G8" i="2"/>
  <c r="D18" i="13"/>
  <c r="C18" i="13" s="1"/>
  <c r="D15" i="13"/>
  <c r="C15" i="13" s="1"/>
  <c r="D18" i="2"/>
  <c r="D17" i="13"/>
  <c r="C17" i="13" s="1"/>
  <c r="D6" i="13"/>
  <c r="C6" i="13" s="1"/>
  <c r="F61" i="2"/>
  <c r="F62" i="2" s="1"/>
  <c r="C77" i="2"/>
  <c r="F49" i="2"/>
  <c r="G160" i="2"/>
  <c r="E143" i="2"/>
  <c r="E102" i="2"/>
  <c r="F90" i="2"/>
  <c r="G61" i="2"/>
  <c r="D29" i="13"/>
  <c r="C29" i="13" s="1"/>
  <c r="D19" i="13"/>
  <c r="C19" i="13" s="1"/>
  <c r="D14" i="13"/>
  <c r="C14" i="13" s="1"/>
  <c r="J653" i="1" l="1"/>
  <c r="J652" i="1"/>
  <c r="J648" i="1"/>
  <c r="I433" i="1"/>
  <c r="G433" i="1"/>
  <c r="H407" i="1"/>
  <c r="H643" i="1" s="1"/>
  <c r="I191" i="1"/>
  <c r="K433" i="1"/>
  <c r="G133" i="2" s="1"/>
  <c r="G143" i="2" s="1"/>
  <c r="G102" i="2"/>
  <c r="C90" i="2"/>
  <c r="I139" i="1"/>
  <c r="G139" i="1"/>
  <c r="C17" i="10"/>
  <c r="G660" i="1"/>
  <c r="J649" i="1"/>
  <c r="G407" i="1"/>
  <c r="H644" i="1" s="1"/>
  <c r="D61" i="2"/>
  <c r="D62" i="2" s="1"/>
  <c r="F544" i="1"/>
  <c r="J631" i="1"/>
  <c r="I662" i="1"/>
  <c r="I445" i="1"/>
  <c r="G641" i="1" s="1"/>
  <c r="F407" i="1"/>
  <c r="H642" i="1" s="1"/>
  <c r="J642" i="1" s="1"/>
  <c r="J111" i="1"/>
  <c r="G570" i="1"/>
  <c r="D126" i="2"/>
  <c r="D127" i="2" s="1"/>
  <c r="F660" i="1"/>
  <c r="H663" i="1"/>
  <c r="L361" i="1"/>
  <c r="E124" i="2"/>
  <c r="L289" i="1"/>
  <c r="F659" i="1" s="1"/>
  <c r="F31" i="13"/>
  <c r="E109" i="2"/>
  <c r="E114" i="2" s="1"/>
  <c r="C11" i="10"/>
  <c r="F50" i="2"/>
  <c r="G144" i="2"/>
  <c r="D90" i="2"/>
  <c r="G80" i="2"/>
  <c r="F77" i="2"/>
  <c r="F80" i="2" s="1"/>
  <c r="C69" i="2"/>
  <c r="C61" i="2"/>
  <c r="C62" i="2" s="1"/>
  <c r="D49" i="2"/>
  <c r="E49" i="2"/>
  <c r="D7" i="13"/>
  <c r="C7" i="13" s="1"/>
  <c r="E13" i="13"/>
  <c r="C13" i="13" s="1"/>
  <c r="E8" i="13"/>
  <c r="C8" i="13" s="1"/>
  <c r="D102" i="2"/>
  <c r="F102" i="2"/>
  <c r="C102" i="2"/>
  <c r="E61" i="2"/>
  <c r="E62" i="2" s="1"/>
  <c r="E31" i="2"/>
  <c r="D31" i="2"/>
  <c r="F18" i="2"/>
  <c r="C18" i="2"/>
  <c r="E18" i="2"/>
  <c r="G162" i="2"/>
  <c r="G161" i="2"/>
  <c r="G159" i="2"/>
  <c r="G158" i="2"/>
  <c r="G157" i="2"/>
  <c r="G156" i="2"/>
  <c r="G155" i="2"/>
  <c r="C127" i="2"/>
  <c r="C31" i="2"/>
  <c r="C114" i="2"/>
  <c r="A22" i="12"/>
  <c r="G33" i="13"/>
  <c r="E90" i="2"/>
  <c r="H51" i="1"/>
  <c r="H618" i="1" s="1"/>
  <c r="J618" i="1" s="1"/>
  <c r="D50" i="2"/>
  <c r="G51" i="1"/>
  <c r="H617" i="1" s="1"/>
  <c r="F51" i="1"/>
  <c r="H616" i="1" s="1"/>
  <c r="J616" i="1" s="1"/>
  <c r="J641" i="1"/>
  <c r="F139" i="1"/>
  <c r="C80" i="2"/>
  <c r="E77" i="2"/>
  <c r="E80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L433" i="1" s="1"/>
  <c r="G637" i="1" s="1"/>
  <c r="J637" i="1" s="1"/>
  <c r="D80" i="2"/>
  <c r="I168" i="1"/>
  <c r="H168" i="1"/>
  <c r="G551" i="1"/>
  <c r="E50" i="2"/>
  <c r="J643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D103" i="2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F551" i="1"/>
  <c r="C35" i="10"/>
  <c r="C36" i="10" s="1"/>
  <c r="L308" i="1"/>
  <c r="D5" i="13"/>
  <c r="E16" i="13"/>
  <c r="J624" i="1"/>
  <c r="C49" i="2"/>
  <c r="J654" i="1"/>
  <c r="J644" i="1"/>
  <c r="J192" i="1"/>
  <c r="H666" i="1"/>
  <c r="H671" i="1"/>
  <c r="L569" i="1"/>
  <c r="I570" i="1"/>
  <c r="I544" i="1"/>
  <c r="J635" i="1"/>
  <c r="G36" i="2"/>
  <c r="G49" i="2" s="1"/>
  <c r="J50" i="1"/>
  <c r="L564" i="1"/>
  <c r="G544" i="1"/>
  <c r="L544" i="1"/>
  <c r="H544" i="1"/>
  <c r="K550" i="1"/>
  <c r="F143" i="2"/>
  <c r="F144" i="2" s="1"/>
  <c r="C39" i="10" l="1"/>
  <c r="K551" i="1"/>
  <c r="L570" i="1"/>
  <c r="F663" i="1"/>
  <c r="F671" i="1" s="1"/>
  <c r="C4" i="10" s="1"/>
  <c r="C27" i="10"/>
  <c r="C28" i="10" s="1"/>
  <c r="G634" i="1"/>
  <c r="J634" i="1" s="1"/>
  <c r="E144" i="2"/>
  <c r="H647" i="1"/>
  <c r="J647" i="1" s="1"/>
  <c r="G50" i="2"/>
  <c r="C50" i="2"/>
  <c r="H192" i="1"/>
  <c r="G628" i="1" s="1"/>
  <c r="J628" i="1" s="1"/>
  <c r="F192" i="1"/>
  <c r="G626" i="1" s="1"/>
  <c r="J626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C41" i="10"/>
  <c r="D39" i="10" s="1"/>
  <c r="F666" i="1" l="1"/>
  <c r="D11" i="10"/>
  <c r="D17" i="10"/>
  <c r="D25" i="10"/>
  <c r="D26" i="10"/>
  <c r="D16" i="10"/>
  <c r="D20" i="10"/>
  <c r="D24" i="10"/>
  <c r="D19" i="10"/>
  <c r="D21" i="10"/>
  <c r="D15" i="10"/>
  <c r="C30" i="10"/>
  <c r="D22" i="10"/>
  <c r="D23" i="10"/>
  <c r="D18" i="10"/>
  <c r="D12" i="10"/>
  <c r="D10" i="10"/>
  <c r="D13" i="10"/>
  <c r="D27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D28" i="10" l="1"/>
  <c r="H655" i="1"/>
  <c r="D41" i="10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<sst xmlns="http://schemas.openxmlformats.org/spreadsheetml/2006/main" count="3943" uniqueCount="910">
  <si>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</si>
  <si>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</si>
  <si>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</si>
  <si>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</si>
  <si>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</si>
  <si>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</si>
  <si>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</si>
  <si>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</si>
  <si>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</si>
  <si>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</si>
  <si>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</si>
  <si>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</si>
  <si>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</si>
  <si>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</si>
  <si>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</si>
  <si>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</si>
  <si>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</si>
  <si>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</si>
  <si>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</si>
  <si>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</si>
  <si>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</si>
  <si>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</si>
  <si>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</si>
  <si>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</si>
  <si>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</si>
  <si>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</si>
  <si>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</si>
  <si>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</si>
  <si>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</si>
  <si>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</si>
  <si>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</si>
  <si>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</si>
  <si>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</si>
  <si>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</si>
  <si>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</si>
  <si>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</si>
  <si>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</si>
  <si>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</si>
  <si>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</si>
  <si>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</si>
  <si>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</si>
  <si>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</si>
  <si>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</si>
  <si>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</si>
  <si>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</si>
  <si>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</si>
  <si>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</si>
  <si>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</si>
  <si>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</si>
  <si>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</si>
  <si>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</si>
  <si>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</si>
  <si>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</si>
  <si>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</si>
  <si>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</si>
  <si>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</si>
  <si>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</si>
  <si>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</si>
  <si>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</si>
  <si>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</si>
  <si>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</si>
  <si>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</si>
  <si>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</si>
  <si>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</si>
  <si>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</si>
  <si>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</si>
  <si>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</si>
  <si>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</si>
  <si>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</si>
  <si>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</si>
  <si>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</si>
  <si>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</si>
  <si>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</si>
  <si>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</si>
  <si>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</si>
  <si>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</si>
  <si>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</si>
  <si>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</si>
  <si>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</si>
  <si>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</si>
  <si>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</si>
  <si>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</si>
  <si>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</si>
  <si>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</si>
  <si>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</si>
  <si>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</si>
  <si>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</si>
  <si>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</si>
  <si>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</si>
  <si>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</si>
  <si>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</si>
  <si>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</si>
  <si>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</si>
  <si>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</si>
  <si>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</si>
  <si>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</si>
  <si>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</si>
  <si>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</si>
  <si>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</si>
  <si>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</si>
  <si>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</si>
  <si>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</si>
  <si>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</si>
  <si>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</si>
  <si>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</si>
  <si>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</si>
  <si>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</si>
  <si>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</si>
  <si>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</si>
  <si>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</si>
  <si>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</si>
  <si>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</si>
  <si>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</si>
  <si>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</si>
  <si>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</si>
  <si>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</si>
  <si>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</si>
  <si>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</si>
  <si>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</si>
  <si>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</si>
  <si>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</si>
  <si>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</si>
  <si>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</si>
  <si>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</si>
  <si>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</si>
  <si>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</si>
  <si>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</si>
  <si>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</si>
  <si>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</si>
  <si>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</si>
  <si>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</si>
  <si>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</si>
  <si>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</si>
  <si>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</si>
  <si>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</si>
  <si>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</si>
  <si>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</si>
  <si>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</si>
  <si>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</si>
  <si>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</si>
  <si>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</si>
  <si>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</si>
  <si>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</si>
  <si>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</si>
  <si>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</si>
  <si>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</si>
  <si>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</si>
  <si>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</si>
  <si>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</si>
  <si>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</si>
  <si>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</si>
  <si>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</si>
  <si>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</si>
  <si>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</si>
  <si>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</si>
  <si>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</si>
  <si>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</si>
  <si>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</si>
  <si>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</si>
  <si>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</si>
  <si>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</si>
  <si>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</si>
  <si>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</si>
  <si>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</si>
  <si>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</si>
  <si>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</si>
  <si>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</si>
  <si>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</si>
  <si>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</si>
  <si>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</si>
  <si>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</si>
  <si>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</si>
  <si>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</si>
  <si>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</si>
  <si>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</si>
  <si>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</si>
  <si>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</si>
  <si>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</si>
  <si>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</si>
  <si>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</si>
  <si>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</si>
  <si>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</si>
  <si>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</si>
  <si>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</si>
  <si>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</si>
  <si>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</si>
  <si>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</si>
  <si>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</si>
  <si>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</si>
  <si>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</si>
  <si>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</si>
  <si>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</si>
  <si>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</si>
  <si>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</si>
  <si>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</si>
  <si>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</si>
  <si>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</si>
  <si>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</si>
  <si>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</si>
  <si>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</si>
  <si>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</si>
  <si>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</si>
  <si>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</si>
  <si>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</si>
  <si>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</si>
  <si>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</si>
  <si>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</si>
  <si>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</si>
  <si>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</si>
  <si>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</si>
  <si>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</si>
  <si>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</si>
  <si>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</si>
  <si>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</si>
  <si>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</si>
  <si>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</si>
  <si>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</si>
  <si>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</si>
  <si>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</si>
  <si>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</si>
  <si>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</si>
  <si>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</si>
  <si>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</si>
  <si>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</si>
  <si>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</si>
  <si>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</si>
  <si>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</si>
  <si>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</si>
  <si>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</si>
  <si>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</si>
  <si>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</si>
  <si>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</si>
  <si>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</si>
  <si>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</si>
  <si>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</si>
  <si>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</si>
  <si>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</si>
  <si>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</si>
  <si>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</si>
  <si>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</si>
  <si>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</si>
  <si>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</si>
  <si>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</si>
  <si>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</si>
  <si>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</si>
  <si>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</si>
  <si>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</si>
  <si>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</si>
  <si>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</si>
  <si>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</si>
  <si>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</si>
  <si>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</si>
  <si>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</si>
  <si>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</si>
  <si>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</si>
  <si>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</si>
  <si>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</si>
  <si>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</si>
  <si>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</si>
  <si>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</si>
  <si>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</si>
  <si>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</si>
  <si>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</si>
  <si>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</si>
  <si>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</si>
  <si>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</si>
  <si>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</si>
  <si>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</si>
  <si>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</si>
  <si>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</si>
  <si>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</si>
  <si>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</si>
  <si>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</si>
  <si>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</si>
  <si>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</si>
  <si>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</si>
  <si>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</si>
  <si>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</si>
  <si>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</si>
  <si>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</si>
  <si>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</si>
  <si>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</si>
  <si>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</si>
  <si>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</si>
  <si>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</si>
  <si>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</si>
  <si>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</si>
  <si>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</si>
  <si>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</si>
  <si>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</si>
  <si>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</si>
  <si>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</si>
  <si>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</si>
  <si>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</si>
  <si>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</si>
  <si>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</si>
  <si>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</si>
  <si>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</si>
  <si>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</si>
  <si>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</si>
  <si>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</si>
  <si>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</si>
  <si>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</si>
  <si>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</si>
  <si>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</si>
  <si>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</si>
  <si>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</si>
  <si>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</si>
  <si>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</si>
  <si>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</si>
  <si>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</si>
  <si>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</si>
  <si>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</si>
  <si>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</si>
  <si>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</si>
  <si>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</si>
  <si>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</si>
  <si>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</si>
  <si>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</si>
  <si>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</si>
  <si>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</si>
  <si>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</si>
  <si>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</si>
  <si>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</si>
  <si>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</si>
  <si>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</si>
  <si>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</si>
  <si>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</si>
  <si>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</si>
  <si>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</si>
  <si>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</si>
  <si>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</si>
  <si>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</si>
  <si>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</si>
  <si>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</si>
  <si>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</si>
  <si>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</si>
  <si>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</si>
  <si>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</si>
  <si>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</si>
  <si>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</si>
  <si>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</si>
  <si>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</si>
  <si>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</si>
  <si>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</si>
  <si>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</si>
  <si>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</si>
  <si>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</si>
  <si>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</si>
  <si>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</si>
  <si>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</si>
  <si>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</si>
  <si>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</si>
  <si>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</si>
  <si>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</si>
  <si>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</si>
  <si>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</si>
  <si>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</si>
  <si>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</si>
  <si>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</si>
  <si>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</si>
  <si>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</si>
  <si>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</si>
  <si>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</si>
  <si>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</si>
  <si>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</si>
  <si>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</si>
  <si>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</si>
  <si>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</si>
  <si>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</si>
  <si>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</si>
  <si>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</si>
  <si>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</si>
  <si>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</si>
  <si>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</si>
  <si>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</si>
  <si>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</si>
  <si>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</si>
  <si>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</si>
  <si>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</si>
  <si>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</si>
  <si>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</si>
  <si>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</si>
  <si>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</si>
  <si>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</si>
  <si>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</si>
  <si>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</si>
  <si>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</si>
  <si>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</si>
  <si>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</si>
  <si>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</si>
  <si>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</si>
  <si>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</si>
  <si>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</si>
  <si>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</si>
  <si>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</si>
  <si>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</si>
  <si>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</si>
  <si>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</si>
  <si>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</si>
  <si>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</si>
  <si>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</si>
  <si>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</si>
  <si>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</si>
  <si>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</si>
  <si>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</si>
  <si>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</si>
  <si>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</si>
  <si>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</si>
  <si>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</si>
  <si>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</si>
  <si>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</si>
  <si>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</si>
  <si>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</si>
  <si>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</si>
  <si>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</si>
  <si>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</si>
  <si>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</si>
  <si>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</si>
  <si>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</si>
  <si>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</si>
  <si>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</si>
  <si>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</si>
  <si>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</si>
  <si>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</si>
  <si>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</si>
  <si>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</si>
  <si>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</si>
  <si>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</si>
  <si>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</si>
  <si>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</si>
  <si>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</si>
  <si>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</si>
  <si>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</si>
  <si>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</si>
  <si>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</si>
  <si>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</si>
  <si>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</si>
  <si>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</si>
  <si>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</si>
  <si>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</si>
  <si>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</si>
  <si>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</si>
  <si>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</si>
  <si>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</si>
  <si>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</si>
  <si>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</si>
  <si>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</si>
  <si>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</si>
  <si>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</si>
  <si>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</si>
  <si>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</si>
  <si>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</si>
  <si>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</si>
  <si>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</si>
  <si>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</si>
  <si>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</si>
  <si>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</si>
  <si>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</si>
  <si>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</si>
  <si>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</si>
  <si>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</si>
  <si>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</si>
  <si>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</si>
  <si>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</si>
  <si>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</si>
  <si>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</si>
  <si>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</si>
  <si>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</si>
  <si>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</si>
  <si>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</si>
  <si>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</si>
  <si>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</si>
  <si>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</si>
  <si>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</si>
  <si>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</si>
  <si>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</si>
  <si>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</si>
  <si>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</si>
  <si>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</si>
  <si>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</si>
  <si>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</si>
  <si>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</si>
  <si>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</si>
  <si>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</si>
  <si>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</si>
  <si>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</si>
  <si>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</si>
  <si>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</si>
  <si>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</si>
  <si>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</si>
  <si>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</si>
  <si>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</si>
  <si>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</si>
  <si>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</si>
  <si>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</si>
  <si>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</si>
  <si>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</si>
  <si>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</si>
  <si>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</si>
  <si>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</si>
  <si>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</si>
  <si>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</si>
  <si>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</si>
  <si>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</si>
  <si>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</si>
  <si>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</si>
  <si>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</si>
  <si>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</si>
  <si>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</si>
  <si>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</si>
  <si>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</si>
  <si>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</si>
  <si>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</si>
  <si>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</si>
  <si>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</si>
  <si>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</si>
  <si>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</si>
  <si>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</si>
  <si>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</si>
  <si>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</si>
  <si>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</si>
  <si>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</si>
  <si>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</si>
  <si>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</si>
  <si>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</si>
  <si>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</si>
  <si>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</si>
  <si>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</si>
  <si>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</si>
  <si>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</si>
  <si>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</si>
  <si>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</si>
  <si>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</si>
  <si>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</si>
  <si>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</si>
  <si>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</si>
  <si>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</si>
  <si>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</si>
  <si>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</si>
  <si>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</si>
  <si>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</si>
  <si>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</si>
  <si>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</si>
  <si>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</si>
  <si>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</si>
  <si>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</si>
  <si>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</si>
  <si>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</si>
  <si>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</si>
  <si>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</si>
  <si>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</si>
  <si>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</si>
  <si>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</si>
  <si>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</si>
  <si>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</si>
  <si>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</si>
  <si>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</si>
  <si>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</si>
  <si>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</si>
  <si>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</si>
  <si>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</si>
  <si>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</si>
  <si>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</si>
  <si>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</si>
  <si>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</si>
  <si>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</si>
  <si>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</si>
  <si>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</si>
  <si>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</si>
  <si>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</si>
  <si>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</si>
  <si>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</si>
  <si>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</si>
  <si>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</si>
  <si>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</si>
  <si>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</si>
  <si>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</si>
  <si>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</si>
  <si>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</si>
  <si>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</si>
  <si>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</si>
  <si>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</si>
  <si>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</si>
  <si>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</si>
  <si>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</si>
  <si>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</si>
  <si>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</si>
  <si>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</si>
  <si>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</si>
  <si>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</si>
  <si>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</si>
  <si>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</si>
  <si>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</si>
  <si>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</si>
  <si>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</si>
  <si>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</si>
  <si>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</si>
  <si>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</si>
  <si>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</si>
  <si>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</si>
  <si>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</si>
  <si>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</si>
  <si>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</si>
  <si>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</si>
  <si>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</si>
  <si>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</si>
  <si>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</si>
  <si>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</si>
  <si>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</si>
  <si>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</si>
  <si>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</si>
  <si>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</si>
  <si>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</si>
  <si>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</si>
  <si>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</si>
  <si>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</si>
  <si>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</si>
  <si>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</si>
  <si>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</si>
  <si>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</si>
  <si>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</si>
  <si>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</si>
  <si>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</si>
  <si>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</si>
  <si>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</si>
  <si>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</si>
  <si>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</si>
  <si>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</si>
  <si>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</si>
  <si>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</si>
  <si>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</si>
  <si>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</si>
  <si>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</si>
  <si>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</si>
  <si>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</si>
  <si>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</si>
  <si>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</si>
  <si>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</si>
  <si>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</si>
  <si>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</si>
  <si>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</si>
  <si>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</si>
  <si>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</si>
  <si>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</si>
  <si>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</si>
  <si>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</si>
  <si>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</si>
  <si>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</si>
  <si>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</si>
  <si>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</si>
  <si>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</si>
  <si>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</si>
  <si>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</si>
  <si>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</si>
  <si>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</si>
  <si>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</si>
  <si>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</si>
  <si>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</si>
  <si>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</si>
  <si>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</si>
  <si>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</si>
  <si>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</si>
  <si>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</si>
  <si>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</si>
  <si>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</si>
  <si>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</si>
  <si>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</si>
  <si>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</si>
  <si>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</si>
  <si>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</si>
  <si>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</si>
  <si>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</si>
  <si>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</si>
  <si>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</si>
  <si>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</si>
  <si>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</si>
  <si>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</si>
  <si>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</si>
  <si>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</si>
  <si>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</si>
  <si>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</si>
  <si>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</si>
  <si>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</si>
  <si>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</si>
  <si>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</si>
  <si>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</si>
  <si>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</si>
  <si>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</si>
  <si>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</si>
  <si>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</si>
  <si>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</si>
  <si>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</si>
  <si>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</si>
  <si>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</si>
  <si>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</si>
  <si>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</si>
  <si>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</si>
  <si>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</si>
  <si>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</si>
  <si>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</si>
  <si>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</si>
  <si>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</si>
  <si>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</si>
  <si>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</si>
  <si>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</si>
  <si>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</si>
  <si>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</si>
  <si>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</si>
  <si>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</si>
  <si>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</si>
  <si>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</si>
  <si>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</si>
  <si>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</si>
  <si>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</si>
  <si>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</si>
  <si>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</si>
  <si>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</si>
  <si>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</si>
  <si>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</si>
  <si>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</si>
  <si>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</si>
  <si>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</si>
  <si>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</si>
  <si>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</si>
  <si>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</si>
  <si>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</si>
  <si>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</si>
  <si>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</si>
  <si>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</si>
  <si>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</si>
  <si>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</si>
  <si>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</si>
  <si>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</si>
  <si>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</si>
  <si>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</si>
  <si>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</si>
  <si>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</si>
  <si>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</si>
  <si>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</si>
  <si>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</si>
  <si>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</si>
  <si>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</si>
  <si>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</si>
  <si>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</si>
  <si>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</si>
  <si>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</si>
  <si>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</si>
  <si>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</si>
  <si>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</si>
  <si>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</si>
  <si>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</si>
  <si>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</si>
  <si>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</si>
  <si>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</si>
  <si>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</si>
  <si>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</si>
  <si>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</si>
  <si>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</si>
  <si>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</si>
  <si>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</si>
  <si>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</si>
  <si>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</si>
  <si>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</si>
  <si>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</si>
  <si>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</si>
  <si>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</si>
  <si>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</si>
  <si>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</si>
  <si>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</si>
  <si>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</si>
  <si>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</si>
  <si>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</si>
  <si>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</si>
  <si>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</si>
  <si>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</si>
  <si>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</si>
  <si>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</si>
  <si>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</si>
  <si>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</si>
  <si>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</si>
  <si>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</si>
  <si>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</si>
  <si>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</si>
  <si>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</si>
  <si>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</si>
  <si>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</si>
  <si>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</si>
  <si>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</si>
  <si>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</si>
  <si>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</si>
  <si>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</si>
  <si>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</si>
  <si>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</si>
  <si>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</si>
  <si>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</si>
  <si>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</si>
  <si>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</si>
  <si>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</si>
  <si>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</si>
  <si>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</si>
  <si>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</si>
  <si>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</si>
  <si>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</si>
  <si>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</si>
  <si>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</si>
  <si>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</si>
  <si>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</si>
  <si>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</si>
  <si>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</si>
  <si>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</si>
  <si>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</si>
  <si>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</si>
  <si>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</si>
  <si>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</si>
  <si>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</si>
  <si>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</si>
  <si>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</si>
  <si>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</si>
  <si>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</si>
  <si>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</si>
  <si>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</si>
  <si>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</si>
  <si>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</si>
  <si>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</si>
  <si>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</si>
  <si>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</si>
  <si>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</si>
  <si>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</si>
  <si>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</si>
  <si>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</si>
  <si>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</si>
  <si>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</si>
  <si>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</si>
  <si>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</si>
  <si>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</si>
  <si>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</si>
  <si>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</si>
  <si>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</si>
  <si>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</si>
  <si>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</si>
  <si>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</si>
  <si>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</si>
  <si>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</si>
  <si>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</si>
  <si>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</si>
  <si>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</si>
  <si>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</si>
  <si>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</si>
  <si>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</si>
  <si>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</si>
  <si>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</si>
  <si>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</si>
  <si>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</si>
  <si>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</si>
  <si>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</si>
  <si>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</si>
  <si>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</si>
  <si>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</si>
  <si>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</si>
  <si>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</si>
  <si>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</si>
  <si>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</si>
  <si>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</si>
  <si>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</si>
  <si>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</si>
  <si>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</si>
  <si>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</si>
  <si>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</si>
  <si>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</si>
  <si>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</si>
  <si>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</si>
  <si>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</si>
  <si>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</si>
  <si>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</si>
  <si>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</si>
  <si>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</si>
  <si>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</si>
  <si>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</si>
  <si>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</si>
  <si>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</si>
  <si>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</si>
  <si>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</si>
  <si>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</si>
  <si>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</si>
  <si>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</si>
  <si>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</si>
  <si>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</si>
  <si>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</si>
  <si>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</si>
  <si>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</si>
  <si>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</si>
  <si>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</si>
  <si>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</si>
  <si>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</si>
  <si>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</si>
  <si>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</si>
  <si>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</si>
  <si>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</si>
  <si>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</si>
  <si>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</si>
  <si>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</si>
  <si>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</si>
  <si>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</si>
  <si>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</si>
  <si>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</si>
  <si>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</si>
  <si>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</si>
  <si>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</si>
  <si>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Auburn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</si>
</sst>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13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29</v>
      </c>
      <c r="C2" s="21">
        <v>29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875336.01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36543.69</v>
      </c>
      <c r="G12" s="18">
        <v>45106.77</v>
      </c>
      <c r="H12" s="18"/>
      <c r="I12" s="18"/>
      <c r="J12" s="67">
        <f>SUM(I440)</f>
        <v>310006.41000000003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6612.56</v>
      </c>
      <c r="G13" s="18">
        <v>3059.74</v>
      </c>
      <c r="H13" s="18">
        <v>38240.17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75.95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918568.21</v>
      </c>
      <c r="G19" s="41">
        <f>SUM(G9:G18)</f>
        <v>48166.509999999995</v>
      </c>
      <c r="H19" s="41">
        <f>SUM(H9:H18)</f>
        <v>38240.17</v>
      </c>
      <c r="I19" s="41">
        <f>SUM(I9:I18)</f>
        <v>0</v>
      </c>
      <c r="J19" s="41">
        <f>SUM(J9:J18)</f>
        <v>310006.41000000003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45106.77</v>
      </c>
      <c r="G22" s="18"/>
      <c r="H22" s="18">
        <v>36543.69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377347</v>
      </c>
      <c r="G24" s="18">
        <v>49.41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17836.740000000002</v>
      </c>
      <c r="G28" s="18">
        <v>302.57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5422.6</v>
      </c>
      <c r="H30" s="18">
        <v>1696.48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2000</v>
      </c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442290.51</v>
      </c>
      <c r="G32" s="41">
        <f>SUM(G22:G31)</f>
        <v>5774.58</v>
      </c>
      <c r="H32" s="41">
        <f>SUM(H22:H31)</f>
        <v>38240.170000000006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>
        <v>1632</v>
      </c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40759.93</v>
      </c>
      <c r="H47" s="18"/>
      <c r="I47" s="18"/>
      <c r="J47" s="13">
        <f>SUM(I458)</f>
        <v>310006.41000000003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88111.77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288165.93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476277.7</v>
      </c>
      <c r="G50" s="41">
        <f>SUM(G35:G49)</f>
        <v>42391.93</v>
      </c>
      <c r="H50" s="41">
        <f>SUM(H35:H49)</f>
        <v>0</v>
      </c>
      <c r="I50" s="41">
        <f>SUM(I35:I49)</f>
        <v>0</v>
      </c>
      <c r="J50" s="41">
        <f>SUM(J35:J49)</f>
        <v>310006.41000000003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918568.21</v>
      </c>
      <c r="G51" s="41">
        <f>G50+G32</f>
        <v>48166.51</v>
      </c>
      <c r="H51" s="41">
        <f>H50+H32</f>
        <v>38240.170000000006</v>
      </c>
      <c r="I51" s="41">
        <f>I50+I32</f>
        <v>0</v>
      </c>
      <c r="J51" s="41">
        <f>J50+J32</f>
        <v>310006.41000000003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6829550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6829550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22401.38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22401.38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751.83</v>
      </c>
      <c r="G95" s="18"/>
      <c r="H95" s="18"/>
      <c r="I95" s="18"/>
      <c r="J95" s="18">
        <v>626.20000000000005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140128.79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2300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1957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52609.86</v>
      </c>
      <c r="G104" s="18"/>
      <c r="H104" s="18">
        <v>79797.14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1459.86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256.3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57377.850000000006</v>
      </c>
      <c r="G110" s="41">
        <f>SUM(G95:G109)</f>
        <v>140128.79</v>
      </c>
      <c r="H110" s="41">
        <f>SUM(H95:H109)</f>
        <v>81754.14</v>
      </c>
      <c r="I110" s="41">
        <f>SUM(I95:I109)</f>
        <v>0</v>
      </c>
      <c r="J110" s="41">
        <f>SUM(J95:J109)</f>
        <v>626.20000000000005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6909329.2299999995</v>
      </c>
      <c r="G111" s="41">
        <f>G59+G110</f>
        <v>140128.79</v>
      </c>
      <c r="H111" s="41">
        <f>H59+H78+H93+H110</f>
        <v>81754.14</v>
      </c>
      <c r="I111" s="41">
        <f>I59+I110</f>
        <v>0</v>
      </c>
      <c r="J111" s="41">
        <f>J59+J110</f>
        <v>626.20000000000005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1865362.79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1482420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1616.21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6064.82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3355463.82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70468.67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2665.89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70468.67</v>
      </c>
      <c r="G135" s="41">
        <f>SUM(G122:G134)</f>
        <v>2665.89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3425932.4899999998</v>
      </c>
      <c r="G139" s="41">
        <f>G120+SUM(G135:G136)</f>
        <v>2665.89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41134.6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56755.18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54839.05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168040.69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99528.95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74992.87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99528.95</v>
      </c>
      <c r="G161" s="41">
        <f>SUM(G149:G160)</f>
        <v>54839.05</v>
      </c>
      <c r="H161" s="41">
        <f>SUM(H149:H160)</f>
        <v>340923.33999999997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>
        <v>1.51</v>
      </c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99528.95</v>
      </c>
      <c r="G168" s="41">
        <f>G146+G161+SUM(G162:G167)</f>
        <v>54839.05</v>
      </c>
      <c r="H168" s="41">
        <f>H146+H161+SUM(H162:H167)</f>
        <v>340924.85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100000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100000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100000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10434790.669999998</v>
      </c>
      <c r="G192" s="47">
        <f>G111+G139+G168+G191</f>
        <v>197633.73000000004</v>
      </c>
      <c r="H192" s="47">
        <f>H111+H139+H168+H191</f>
        <v>422678.99</v>
      </c>
      <c r="I192" s="47">
        <f>I111+I139+I168+I191</f>
        <v>0</v>
      </c>
      <c r="J192" s="47">
        <f>J111+J139+J191</f>
        <v>100626.2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2199751.67</f>
        <v>2199751.67</v>
      </c>
      <c r="G196" s="18">
        <v>896295.53</v>
      </c>
      <c r="H196" s="18">
        <f>7000+558</f>
        <v>7558</v>
      </c>
      <c r="I196" s="18">
        <v>29271.87</v>
      </c>
      <c r="J196" s="18">
        <v>3405.92</v>
      </c>
      <c r="K196" s="18">
        <v>0</v>
      </c>
      <c r="L196" s="19">
        <f>SUM(F196:K196)</f>
        <v>3136282.99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570698.37+18076.93+7907.35+66650</f>
        <v>663332.65</v>
      </c>
      <c r="G197" s="18">
        <f>205522.52+2659.8+701.64+26312.08</f>
        <v>235196.03999999998</v>
      </c>
      <c r="H197" s="18">
        <f>55854.84-8630.87+270+200+35495.07+1359.9+1245+2810</f>
        <v>88603.939999999988</v>
      </c>
      <c r="I197" s="18">
        <f>1501.88+202.18+464.11</f>
        <v>2168.17</v>
      </c>
      <c r="J197" s="18">
        <v>5954.68</v>
      </c>
      <c r="K197" s="18">
        <v>1094</v>
      </c>
      <c r="L197" s="19">
        <f>SUM(F197:K197)</f>
        <v>996349.48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13395+13400+5875</f>
        <v>32670</v>
      </c>
      <c r="G199" s="18">
        <f>1407.2+1992.26+923.98</f>
        <v>4323.4400000000005</v>
      </c>
      <c r="H199" s="18">
        <f>1875+4930</f>
        <v>6805</v>
      </c>
      <c r="I199" s="18">
        <f>3532.99+1738.09</f>
        <v>5271.08</v>
      </c>
      <c r="J199" s="18">
        <v>544</v>
      </c>
      <c r="K199" s="18">
        <v>550</v>
      </c>
      <c r="L199" s="19">
        <f>SUM(F199:K199)</f>
        <v>50163.520000000004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96235+68915.67+108469+48268</f>
        <v>321887.67</v>
      </c>
      <c r="G201" s="18">
        <f>37302.21+32644.26+324+38929.73+17698.2</f>
        <v>126898.40000000001</v>
      </c>
      <c r="H201" s="18">
        <f>2350+25945.75+125+65220.97+1647+29423.1+900.58</f>
        <v>125612.40000000001</v>
      </c>
      <c r="I201" s="18">
        <f>74.07+1289.83+2132.29+1314.5+1460.43+824.06</f>
        <v>7095.18</v>
      </c>
      <c r="J201" s="18">
        <v>423.98</v>
      </c>
      <c r="K201" s="18">
        <f>315+2199.6</f>
        <v>2514.6</v>
      </c>
      <c r="L201" s="19">
        <f t="shared" ref="L201:L207" si="0">SUM(F201:K201)</f>
        <v>584432.23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1200+42986.75</f>
        <v>44186.75</v>
      </c>
      <c r="G202" s="18">
        <f>21585.79+685.43</f>
        <v>22271.22</v>
      </c>
      <c r="H202" s="18">
        <f>500+1891.86</f>
        <v>2391.8599999999997</v>
      </c>
      <c r="I202" s="18">
        <f>4880.22</f>
        <v>4880.22</v>
      </c>
      <c r="J202" s="18">
        <v>2660.33</v>
      </c>
      <c r="K202" s="18">
        <v>90</v>
      </c>
      <c r="L202" s="19">
        <f t="shared" si="0"/>
        <v>76480.38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10400</v>
      </c>
      <c r="G203" s="18">
        <v>960.58</v>
      </c>
      <c r="H203" s="18">
        <f>31454.98+230801</f>
        <v>262255.98</v>
      </c>
      <c r="I203" s="18">
        <v>2379.63</v>
      </c>
      <c r="J203" s="18"/>
      <c r="K203" s="18">
        <v>4168.41</v>
      </c>
      <c r="L203" s="19">
        <f t="shared" si="0"/>
        <v>280164.59999999998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232447.24</v>
      </c>
      <c r="G204" s="18">
        <v>85759.95</v>
      </c>
      <c r="H204" s="18">
        <f>22596.98+13971.59</f>
        <v>36568.57</v>
      </c>
      <c r="I204" s="18">
        <v>454.66</v>
      </c>
      <c r="J204" s="18"/>
      <c r="K204" s="18">
        <v>653</v>
      </c>
      <c r="L204" s="19">
        <f t="shared" si="0"/>
        <v>355883.42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178573.79</v>
      </c>
      <c r="G206" s="18">
        <v>81552.990000000005</v>
      </c>
      <c r="H206" s="18">
        <f>4848+139228.33+20057.25</f>
        <v>164133.57999999999</v>
      </c>
      <c r="I206" s="18">
        <v>159837.41</v>
      </c>
      <c r="J206" s="18">
        <v>33833</v>
      </c>
      <c r="K206" s="18"/>
      <c r="L206" s="19">
        <f t="shared" si="0"/>
        <v>617930.77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303149.06+129306.28+7002.64+6988.08</f>
        <v>446446.06</v>
      </c>
      <c r="I207" s="18"/>
      <c r="J207" s="18"/>
      <c r="K207" s="18"/>
      <c r="L207" s="19">
        <f t="shared" si="0"/>
        <v>446446.06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68119.520000000004</v>
      </c>
      <c r="G208" s="18">
        <v>15625.88</v>
      </c>
      <c r="H208" s="18">
        <f>1500+8801.4+671.99</f>
        <v>10973.39</v>
      </c>
      <c r="I208" s="18">
        <v>19795.009999999998</v>
      </c>
      <c r="J208" s="18">
        <v>42627</v>
      </c>
      <c r="K208" s="18">
        <v>235</v>
      </c>
      <c r="L208" s="19">
        <f>SUM(F208:K208)</f>
        <v>157375.79999999999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3751369.2899999996</v>
      </c>
      <c r="G210" s="41">
        <f t="shared" si="1"/>
        <v>1468884.0299999998</v>
      </c>
      <c r="H210" s="41">
        <f t="shared" si="1"/>
        <v>1151348.7799999998</v>
      </c>
      <c r="I210" s="41">
        <f t="shared" si="1"/>
        <v>231153.23</v>
      </c>
      <c r="J210" s="41">
        <f t="shared" si="1"/>
        <v>89448.91</v>
      </c>
      <c r="K210" s="41">
        <f t="shared" si="1"/>
        <v>9305.01</v>
      </c>
      <c r="L210" s="41">
        <f t="shared" si="1"/>
        <v>6701509.25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f>41687.35+225</f>
        <v>41912.35</v>
      </c>
      <c r="I215" s="4"/>
      <c r="J215" s="18"/>
      <c r="K215" s="18"/>
      <c r="L215" s="19">
        <f>SUM(F215:K215)</f>
        <v>41912.35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41912.35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41912.35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2660655.9700000002</v>
      </c>
      <c r="I232" s="4"/>
      <c r="J232" s="18"/>
      <c r="K232" s="18"/>
      <c r="L232" s="19">
        <f>SUM(F232:K232)</f>
        <v>2660655.9700000002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f>8630.87+651720.33+37895.03+142765.34+2500</f>
        <v>843511.57</v>
      </c>
      <c r="I233" s="4"/>
      <c r="J233" s="18"/>
      <c r="K233" s="18"/>
      <c r="L233" s="19">
        <f>SUM(F233:K233)</f>
        <v>843511.57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69915.46+47891.22</f>
        <v>117806.68000000001</v>
      </c>
      <c r="I243" s="18"/>
      <c r="J243" s="18"/>
      <c r="K243" s="18"/>
      <c r="L243" s="19">
        <f t="shared" si="4"/>
        <v>117806.68000000001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>SUM(H232:H245)</f>
        <v>3621974.22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3621974.22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>
        <v>167171.79999999999</v>
      </c>
      <c r="K254" s="18"/>
      <c r="L254" s="19">
        <f t="shared" si="6"/>
        <v>167171.79999999999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167171.79999999999</v>
      </c>
      <c r="K255" s="41">
        <f t="shared" si="7"/>
        <v>0</v>
      </c>
      <c r="L255" s="41">
        <f>SUM(F255:K255)</f>
        <v>167171.79999999999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3751369.2899999996</v>
      </c>
      <c r="G256" s="41">
        <f t="shared" si="8"/>
        <v>1468884.0299999998</v>
      </c>
      <c r="H256" s="41">
        <f t="shared" si="8"/>
        <v>4815235.3499999996</v>
      </c>
      <c r="I256" s="41">
        <f t="shared" si="8"/>
        <v>231153.23</v>
      </c>
      <c r="J256" s="41">
        <f t="shared" si="8"/>
        <v>256620.71</v>
      </c>
      <c r="K256" s="41">
        <f t="shared" si="8"/>
        <v>9305.01</v>
      </c>
      <c r="L256" s="41">
        <f t="shared" si="8"/>
        <v>10532567.620000001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100000</v>
      </c>
      <c r="L265" s="19">
        <f t="shared" si="9"/>
        <v>100000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100000</v>
      </c>
      <c r="L269" s="41">
        <f t="shared" si="9"/>
        <v>100000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3751369.2899999996</v>
      </c>
      <c r="G270" s="42">
        <f t="shared" si="11"/>
        <v>1468884.0299999998</v>
      </c>
      <c r="H270" s="42">
        <f t="shared" si="11"/>
        <v>4815235.3499999996</v>
      </c>
      <c r="I270" s="42">
        <f t="shared" si="11"/>
        <v>231153.23</v>
      </c>
      <c r="J270" s="42">
        <f t="shared" si="11"/>
        <v>256620.71</v>
      </c>
      <c r="K270" s="42">
        <f t="shared" si="11"/>
        <v>109305.01</v>
      </c>
      <c r="L270" s="42">
        <f t="shared" si="11"/>
        <v>10632567.620000001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30206.97+74992.87</f>
        <v>105199.84</v>
      </c>
      <c r="G275" s="18">
        <v>5218.84</v>
      </c>
      <c r="H275" s="18">
        <v>1.51</v>
      </c>
      <c r="I275" s="18">
        <v>104</v>
      </c>
      <c r="J275" s="18"/>
      <c r="K275" s="18"/>
      <c r="L275" s="19">
        <f>SUM(F275:K275)</f>
        <v>110524.18999999999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80640.509999999995</v>
      </c>
      <c r="G276" s="18">
        <v>11719.02</v>
      </c>
      <c r="H276" s="18">
        <v>7968</v>
      </c>
      <c r="I276" s="18">
        <v>12986.09</v>
      </c>
      <c r="J276" s="18">
        <v>4969.1000000000004</v>
      </c>
      <c r="K276" s="18"/>
      <c r="L276" s="19">
        <f>SUM(F276:K276)</f>
        <v>118282.72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772.5+55200+15695.66</f>
        <v>71668.160000000003</v>
      </c>
      <c r="G280" s="18">
        <f>143.61+24597.14+1200.76</f>
        <v>25941.51</v>
      </c>
      <c r="H280" s="18">
        <f>20750.62+3352.5</f>
        <v>24103.119999999999</v>
      </c>
      <c r="I280" s="18">
        <f>1451.18</f>
        <v>1451.18</v>
      </c>
      <c r="J280" s="18"/>
      <c r="K280" s="18"/>
      <c r="L280" s="19">
        <f t="shared" ref="L280:L286" si="12">SUM(F280:K280)</f>
        <v>123163.96999999999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20390.71</v>
      </c>
      <c r="G281" s="18">
        <v>3872.46</v>
      </c>
      <c r="H281" s="18">
        <f>1826.5+500</f>
        <v>2326.5</v>
      </c>
      <c r="I281" s="18">
        <f>4588.4</f>
        <v>4588.3999999999996</v>
      </c>
      <c r="J281" s="18"/>
      <c r="K281" s="18"/>
      <c r="L281" s="19">
        <f t="shared" si="12"/>
        <v>31178.07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8056.86</v>
      </c>
      <c r="L284" s="19">
        <f t="shared" si="12"/>
        <v>8056.86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3096.13</v>
      </c>
      <c r="G287" s="18">
        <v>445.3</v>
      </c>
      <c r="H287" s="18">
        <v>11577.82</v>
      </c>
      <c r="I287" s="18"/>
      <c r="J287" s="18">
        <v>14396.93</v>
      </c>
      <c r="K287" s="18"/>
      <c r="L287" s="19">
        <f>SUM(F287:K287)</f>
        <v>29516.18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280995.34999999998</v>
      </c>
      <c r="G289" s="42">
        <f t="shared" si="13"/>
        <v>47197.13</v>
      </c>
      <c r="H289" s="42">
        <f t="shared" si="13"/>
        <v>45976.95</v>
      </c>
      <c r="I289" s="42">
        <f t="shared" si="13"/>
        <v>19129.669999999998</v>
      </c>
      <c r="J289" s="42">
        <f t="shared" si="13"/>
        <v>19366.03</v>
      </c>
      <c r="K289" s="42">
        <f t="shared" si="13"/>
        <v>8056.86</v>
      </c>
      <c r="L289" s="41">
        <f t="shared" si="13"/>
        <v>420721.98999999993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>
        <v>1957</v>
      </c>
      <c r="I335" s="18"/>
      <c r="J335" s="18"/>
      <c r="K335" s="18"/>
      <c r="L335" s="19">
        <f t="shared" si="18"/>
        <v>1957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1957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1957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280995.34999999998</v>
      </c>
      <c r="G337" s="41">
        <f t="shared" si="20"/>
        <v>47197.13</v>
      </c>
      <c r="H337" s="41">
        <f t="shared" si="20"/>
        <v>47933.95</v>
      </c>
      <c r="I337" s="41">
        <f t="shared" si="20"/>
        <v>19129.669999999998</v>
      </c>
      <c r="J337" s="41">
        <f t="shared" si="20"/>
        <v>19366.03</v>
      </c>
      <c r="K337" s="41">
        <f t="shared" si="20"/>
        <v>8056.86</v>
      </c>
      <c r="L337" s="41">
        <f t="shared" si="20"/>
        <v>422678.98999999993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280995.34999999998</v>
      </c>
      <c r="G351" s="41">
        <f>G337</f>
        <v>47197.13</v>
      </c>
      <c r="H351" s="41">
        <f>H337</f>
        <v>47933.95</v>
      </c>
      <c r="I351" s="41">
        <f>I337</f>
        <v>19129.669999999998</v>
      </c>
      <c r="J351" s="41">
        <f>J337</f>
        <v>19366.03</v>
      </c>
      <c r="K351" s="47">
        <f>K337+K350</f>
        <v>8056.86</v>
      </c>
      <c r="L351" s="41">
        <f>L337+L350</f>
        <v>422678.98999999993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61233.86</v>
      </c>
      <c r="G357" s="18">
        <f>23887.81-6.68</f>
        <v>23881.13</v>
      </c>
      <c r="H357" s="18">
        <v>3515.38</v>
      </c>
      <c r="I357" s="18">
        <v>96915.83</v>
      </c>
      <c r="J357" s="18">
        <v>34732</v>
      </c>
      <c r="K357" s="18"/>
      <c r="L357" s="13">
        <f>SUM(F357:K357)</f>
        <v>220278.2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61233.86</v>
      </c>
      <c r="G361" s="47">
        <f t="shared" si="22"/>
        <v>23881.13</v>
      </c>
      <c r="H361" s="47">
        <f t="shared" si="22"/>
        <v>3515.38</v>
      </c>
      <c r="I361" s="47">
        <f t="shared" si="22"/>
        <v>96915.83</v>
      </c>
      <c r="J361" s="47">
        <f t="shared" si="22"/>
        <v>34732</v>
      </c>
      <c r="K361" s="47">
        <f t="shared" si="22"/>
        <v>0</v>
      </c>
      <c r="L361" s="47">
        <f t="shared" si="22"/>
        <v>220278.2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79885.75+11710.86</f>
        <v>91596.61</v>
      </c>
      <c r="G366" s="18"/>
      <c r="H366" s="18"/>
      <c r="I366" s="56">
        <f>SUM(F366:H366)</f>
        <v>91596.61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5319.22</f>
        <v>5319.22</v>
      </c>
      <c r="G367" s="63"/>
      <c r="H367" s="63"/>
      <c r="I367" s="56">
        <f>SUM(F367:H367)</f>
        <v>5319.22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96915.83</v>
      </c>
      <c r="G368" s="47">
        <f>SUM(G366:G367)</f>
        <v>0</v>
      </c>
      <c r="H368" s="47">
        <f>SUM(H366:H367)</f>
        <v>0</v>
      </c>
      <c r="I368" s="47">
        <f>SUM(I366:I367)</f>
        <v>96915.83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>
        <v>17428</v>
      </c>
      <c r="H387" s="18">
        <v>197.52</v>
      </c>
      <c r="I387" s="18"/>
      <c r="J387" s="24" t="s">
        <v>289</v>
      </c>
      <c r="K387" s="24" t="s">
        <v>289</v>
      </c>
      <c r="L387" s="56">
        <f t="shared" si="25"/>
        <v>17625.52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17428</v>
      </c>
      <c r="H392" s="139">
        <f>SUM(H386:H391)</f>
        <v>197.52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17625.52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251.73</v>
      </c>
      <c r="I396" s="18"/>
      <c r="J396" s="24" t="s">
        <v>289</v>
      </c>
      <c r="K396" s="24" t="s">
        <v>289</v>
      </c>
      <c r="L396" s="56">
        <f t="shared" si="26"/>
        <v>251.73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82572</v>
      </c>
      <c r="H399" s="18">
        <v>176.95</v>
      </c>
      <c r="I399" s="18"/>
      <c r="J399" s="24" t="s">
        <v>289</v>
      </c>
      <c r="K399" s="24" t="s">
        <v>289</v>
      </c>
      <c r="L399" s="56">
        <f t="shared" si="26"/>
        <v>82748.95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82572</v>
      </c>
      <c r="H400" s="47">
        <f>SUM(H394:H399)</f>
        <v>428.67999999999995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83000.679999999993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100000</v>
      </c>
      <c r="H407" s="47">
        <f>H392+H400+H406</f>
        <v>626.19999999999993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100626.2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100295.66</v>
      </c>
      <c r="G440" s="18">
        <v>209710.75</v>
      </c>
      <c r="H440" s="18"/>
      <c r="I440" s="56">
        <f t="shared" si="33"/>
        <v>310006.41000000003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100295.66</v>
      </c>
      <c r="G445" s="13">
        <f>SUM(G438:G444)</f>
        <v>209710.75</v>
      </c>
      <c r="H445" s="13">
        <f>SUM(H438:H444)</f>
        <v>0</v>
      </c>
      <c r="I445" s="13">
        <f>SUM(I438:I444)</f>
        <v>310006.41000000003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100295.66</v>
      </c>
      <c r="G458" s="18">
        <v>209710.75</v>
      </c>
      <c r="H458" s="18"/>
      <c r="I458" s="56">
        <f t="shared" si="34"/>
        <v>310006.41000000003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100295.66</v>
      </c>
      <c r="G459" s="83">
        <f>SUM(G453:G458)</f>
        <v>209710.75</v>
      </c>
      <c r="H459" s="83">
        <f>SUM(H453:H458)</f>
        <v>0</v>
      </c>
      <c r="I459" s="83">
        <f>SUM(I453:I458)</f>
        <v>310006.41000000003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100295.66</v>
      </c>
      <c r="G460" s="42">
        <f>G451+G459</f>
        <v>209710.75</v>
      </c>
      <c r="H460" s="42">
        <f>H451+H459</f>
        <v>0</v>
      </c>
      <c r="I460" s="42">
        <f>I451+I459</f>
        <v>310006.41000000003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674054.65</v>
      </c>
      <c r="G464" s="18">
        <v>65036.4</v>
      </c>
      <c r="H464" s="18"/>
      <c r="I464" s="18"/>
      <c r="J464" s="18">
        <v>209380.21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10509783.54-74992.87</f>
        <v>10434790.67</v>
      </c>
      <c r="G467" s="18">
        <v>197633.73</v>
      </c>
      <c r="H467" s="18">
        <f>347686.12+74992.87</f>
        <v>422678.99</v>
      </c>
      <c r="I467" s="18"/>
      <c r="J467" s="18">
        <v>100626.2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10434790.67</v>
      </c>
      <c r="G469" s="53">
        <f>SUM(G467:G468)</f>
        <v>197633.73</v>
      </c>
      <c r="H469" s="53">
        <f>SUM(H467:H468)</f>
        <v>422678.99</v>
      </c>
      <c r="I469" s="53">
        <f>SUM(I467:I468)</f>
        <v>0</v>
      </c>
      <c r="J469" s="53">
        <f>SUM(J467:J468)</f>
        <v>100626.2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10707560.49-74992.87</f>
        <v>10632567.620000001</v>
      </c>
      <c r="G471" s="18">
        <v>220278.2</v>
      </c>
      <c r="H471" s="18">
        <f>347686.12+74992.87</f>
        <v>422678.99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10632567.620000001</v>
      </c>
      <c r="G473" s="53">
        <f>SUM(G471:G472)</f>
        <v>220278.2</v>
      </c>
      <c r="H473" s="53">
        <f>SUM(H471:H472)</f>
        <v>422678.99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476277.69999999925</v>
      </c>
      <c r="G475" s="53">
        <f>(G464+G469)- G473</f>
        <v>42391.929999999993</v>
      </c>
      <c r="H475" s="53">
        <f>(H464+H469)- H473</f>
        <v>0</v>
      </c>
      <c r="I475" s="53">
        <f>(I464+I469)- I473</f>
        <v>0</v>
      </c>
      <c r="J475" s="53">
        <f>(J464+J469)- J473</f>
        <v>310006.40999999997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693409.03</v>
      </c>
      <c r="G520" s="18">
        <v>193195.51</v>
      </c>
      <c r="H520" s="18">
        <f>22018.37+915098.12-142765.34-41687.35-2500-225-37895.03-651720.33-8630.87</f>
        <v>51692.570000000058</v>
      </c>
      <c r="I520" s="18">
        <v>15154.26</v>
      </c>
      <c r="J520" s="18">
        <v>10923.78</v>
      </c>
      <c r="K520" s="18"/>
      <c r="L520" s="88">
        <f>SUM(F520:K520)</f>
        <v>964375.15000000014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f>225+41687.35</f>
        <v>41912.35</v>
      </c>
      <c r="I521" s="18"/>
      <c r="J521" s="18"/>
      <c r="K521" s="18"/>
      <c r="L521" s="88">
        <f>SUM(F521:K521)</f>
        <v>41912.35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f>8630.87+651720.33+37895.03+2500+142765.34</f>
        <v>843511.57</v>
      </c>
      <c r="I522" s="18"/>
      <c r="J522" s="18"/>
      <c r="K522" s="18"/>
      <c r="L522" s="88">
        <f>SUM(F522:K522)</f>
        <v>843511.57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693409.03</v>
      </c>
      <c r="G523" s="108">
        <f t="shared" ref="G523:L523" si="36">SUM(G520:G522)</f>
        <v>193195.51</v>
      </c>
      <c r="H523" s="108">
        <f t="shared" si="36"/>
        <v>937116.49</v>
      </c>
      <c r="I523" s="108">
        <f t="shared" si="36"/>
        <v>15154.26</v>
      </c>
      <c r="J523" s="108">
        <f t="shared" si="36"/>
        <v>10923.78</v>
      </c>
      <c r="K523" s="108">
        <f t="shared" si="36"/>
        <v>0</v>
      </c>
      <c r="L523" s="89">
        <f t="shared" si="36"/>
        <v>1849799.07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172432.66</v>
      </c>
      <c r="G525" s="18">
        <v>82749.83</v>
      </c>
      <c r="H525" s="18">
        <v>163443.66</v>
      </c>
      <c r="I525" s="18">
        <v>5722.03</v>
      </c>
      <c r="J525" s="18"/>
      <c r="K525" s="18">
        <v>315</v>
      </c>
      <c r="L525" s="88">
        <f>SUM(F525:K525)</f>
        <v>424663.18000000005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172432.66</v>
      </c>
      <c r="G528" s="89">
        <f t="shared" ref="G528:L528" si="37">SUM(G525:G527)</f>
        <v>82749.83</v>
      </c>
      <c r="H528" s="89">
        <f t="shared" si="37"/>
        <v>163443.66</v>
      </c>
      <c r="I528" s="89">
        <f t="shared" si="37"/>
        <v>5722.03</v>
      </c>
      <c r="J528" s="89">
        <f t="shared" si="37"/>
        <v>0</v>
      </c>
      <c r="K528" s="89">
        <f t="shared" si="37"/>
        <v>315</v>
      </c>
      <c r="L528" s="89">
        <f t="shared" si="37"/>
        <v>424663.18000000005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105764.13</v>
      </c>
      <c r="G530" s="18">
        <v>53719.55</v>
      </c>
      <c r="H530" s="18">
        <v>1829.9</v>
      </c>
      <c r="I530" s="18"/>
      <c r="J530" s="18"/>
      <c r="K530" s="18">
        <v>1094</v>
      </c>
      <c r="L530" s="88">
        <f>SUM(F530:K530)</f>
        <v>162407.57999999999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105764.13</v>
      </c>
      <c r="G533" s="89">
        <f t="shared" ref="G533:L533" si="38">SUM(G530:G532)</f>
        <v>53719.55</v>
      </c>
      <c r="H533" s="89">
        <f t="shared" si="38"/>
        <v>1829.9</v>
      </c>
      <c r="I533" s="89">
        <f t="shared" si="38"/>
        <v>0</v>
      </c>
      <c r="J533" s="89">
        <f t="shared" si="38"/>
        <v>0</v>
      </c>
      <c r="K533" s="89">
        <f t="shared" si="38"/>
        <v>1094</v>
      </c>
      <c r="L533" s="89">
        <f t="shared" si="38"/>
        <v>162407.57999999999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129306.28</v>
      </c>
      <c r="I540" s="18"/>
      <c r="J540" s="18"/>
      <c r="K540" s="18"/>
      <c r="L540" s="88">
        <f>SUM(F540:K540)</f>
        <v>129306.28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47891.22</v>
      </c>
      <c r="I542" s="18"/>
      <c r="J542" s="18"/>
      <c r="K542" s="18"/>
      <c r="L542" s="88">
        <f>SUM(F542:K542)</f>
        <v>47891.22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177197.5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177197.5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971605.82000000007</v>
      </c>
      <c r="G544" s="89">
        <f t="shared" ref="G544:L544" si="41">G523+G528+G533+G538+G543</f>
        <v>329664.89</v>
      </c>
      <c r="H544" s="89">
        <f t="shared" si="41"/>
        <v>1279587.5499999998</v>
      </c>
      <c r="I544" s="89">
        <f t="shared" si="41"/>
        <v>20876.29</v>
      </c>
      <c r="J544" s="89">
        <f t="shared" si="41"/>
        <v>10923.78</v>
      </c>
      <c r="K544" s="89">
        <f t="shared" si="41"/>
        <v>1409</v>
      </c>
      <c r="L544" s="89">
        <f t="shared" si="41"/>
        <v>2614067.33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964375.15000000014</v>
      </c>
      <c r="G548" s="87">
        <f>L525</f>
        <v>424663.18000000005</v>
      </c>
      <c r="H548" s="87">
        <f>L530</f>
        <v>162407.57999999999</v>
      </c>
      <c r="I548" s="87">
        <f>L535</f>
        <v>0</v>
      </c>
      <c r="J548" s="87">
        <f>L540</f>
        <v>129306.28</v>
      </c>
      <c r="K548" s="87">
        <f>SUM(F548:J548)</f>
        <v>1680752.1900000002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41912.35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41912.35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843511.57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47891.22</v>
      </c>
      <c r="K550" s="87">
        <f>SUM(F550:J550)</f>
        <v>891402.78999999992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1849799.07</v>
      </c>
      <c r="G551" s="89">
        <f t="shared" si="42"/>
        <v>424663.18000000005</v>
      </c>
      <c r="H551" s="89">
        <f t="shared" si="42"/>
        <v>162407.57999999999</v>
      </c>
      <c r="I551" s="89">
        <f t="shared" si="42"/>
        <v>0</v>
      </c>
      <c r="J551" s="89">
        <f t="shared" si="42"/>
        <v>177197.5</v>
      </c>
      <c r="K551" s="89">
        <f t="shared" si="42"/>
        <v>2614067.33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7907.35</v>
      </c>
      <c r="G561" s="18">
        <v>701.64</v>
      </c>
      <c r="H561" s="18"/>
      <c r="I561" s="18">
        <v>202.18</v>
      </c>
      <c r="J561" s="18"/>
      <c r="K561" s="18"/>
      <c r="L561" s="88">
        <f>SUM(F561:K561)</f>
        <v>8811.17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7907.35</v>
      </c>
      <c r="G564" s="89">
        <f t="shared" si="44"/>
        <v>701.64</v>
      </c>
      <c r="H564" s="89">
        <f t="shared" si="44"/>
        <v>0</v>
      </c>
      <c r="I564" s="89">
        <f t="shared" si="44"/>
        <v>202.18</v>
      </c>
      <c r="J564" s="89">
        <f t="shared" si="44"/>
        <v>0</v>
      </c>
      <c r="K564" s="89">
        <f t="shared" si="44"/>
        <v>0</v>
      </c>
      <c r="L564" s="89">
        <f t="shared" si="44"/>
        <v>8811.17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66650</v>
      </c>
      <c r="G566" s="18">
        <v>26312.080000000002</v>
      </c>
      <c r="H566" s="18"/>
      <c r="I566" s="18">
        <v>464.11</v>
      </c>
      <c r="J566" s="18"/>
      <c r="K566" s="18"/>
      <c r="L566" s="88">
        <f>SUM(F566:K566)</f>
        <v>93426.19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66650</v>
      </c>
      <c r="G569" s="194">
        <f t="shared" ref="G569:L569" si="45">SUM(G566:G568)</f>
        <v>26312.080000000002</v>
      </c>
      <c r="H569" s="194">
        <f t="shared" si="45"/>
        <v>0</v>
      </c>
      <c r="I569" s="194">
        <f t="shared" si="45"/>
        <v>464.11</v>
      </c>
      <c r="J569" s="194">
        <f t="shared" si="45"/>
        <v>0</v>
      </c>
      <c r="K569" s="194">
        <f t="shared" si="45"/>
        <v>0</v>
      </c>
      <c r="L569" s="194">
        <f t="shared" si="45"/>
        <v>93426.19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74557.350000000006</v>
      </c>
      <c r="G570" s="89">
        <f t="shared" ref="G570:L570" si="46">G559+G564+G569</f>
        <v>27013.72</v>
      </c>
      <c r="H570" s="89">
        <f t="shared" si="46"/>
        <v>0</v>
      </c>
      <c r="I570" s="89">
        <f t="shared" si="46"/>
        <v>666.29</v>
      </c>
      <c r="J570" s="89">
        <f t="shared" si="46"/>
        <v>0</v>
      </c>
      <c r="K570" s="89">
        <f t="shared" si="46"/>
        <v>0</v>
      </c>
      <c r="L570" s="89">
        <f t="shared" si="46"/>
        <v>102237.36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1586331.77</v>
      </c>
      <c r="I574" s="87">
        <f>SUM(F574:H574)</f>
        <v>1586331.77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1074324.2</v>
      </c>
      <c r="I576" s="87">
        <f t="shared" si="47"/>
        <v>1074324.2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651720.32999999996</v>
      </c>
      <c r="I578" s="87">
        <f t="shared" si="47"/>
        <v>651720.32999999996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f>37895.03</f>
        <v>37895.03</v>
      </c>
      <c r="I580" s="87">
        <f t="shared" si="47"/>
        <v>37895.03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35495.07+2810</f>
        <v>38305.07</v>
      </c>
      <c r="G581" s="18">
        <f>41687.35+225</f>
        <v>41912.35</v>
      </c>
      <c r="H581" s="18">
        <f>142765.34+2500</f>
        <v>145265.34</v>
      </c>
      <c r="I581" s="87">
        <f t="shared" si="47"/>
        <v>225482.76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303149.06</v>
      </c>
      <c r="I590" s="18"/>
      <c r="J590" s="18">
        <v>69915.460000000006</v>
      </c>
      <c r="K590" s="104">
        <f t="shared" ref="K590:K596" si="48">SUM(H590:J590)</f>
        <v>373064.52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129306.28</v>
      </c>
      <c r="I591" s="18"/>
      <c r="J591" s="18">
        <v>47891.22</v>
      </c>
      <c r="K591" s="104">
        <f t="shared" si="48"/>
        <v>177197.5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6988.08</v>
      </c>
      <c r="I593" s="18"/>
      <c r="J593" s="18"/>
      <c r="K593" s="104">
        <f t="shared" si="48"/>
        <v>6988.08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7002.64</v>
      </c>
      <c r="I594" s="18"/>
      <c r="J594" s="18"/>
      <c r="K594" s="104">
        <f t="shared" si="48"/>
        <v>7002.64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446446.06</v>
      </c>
      <c r="I597" s="108">
        <f>SUM(I590:I596)</f>
        <v>0</v>
      </c>
      <c r="J597" s="108">
        <f>SUM(J590:J596)</f>
        <v>117806.68000000001</v>
      </c>
      <c r="K597" s="108">
        <f>SUM(K590:K596)</f>
        <v>564252.74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33833</v>
      </c>
      <c r="I602" s="18"/>
      <c r="J602" s="18"/>
      <c r="K602" s="104">
        <f>SUM(H602:J602)</f>
        <v>33833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74981.94</v>
      </c>
      <c r="I603" s="18"/>
      <c r="J603" s="18"/>
      <c r="K603" s="104">
        <f>SUM(H603:J603)</f>
        <v>74981.94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108814.94</v>
      </c>
      <c r="I604" s="108">
        <f>SUM(I601:I603)</f>
        <v>0</v>
      </c>
      <c r="J604" s="108">
        <f>SUM(J601:J603)</f>
        <v>0</v>
      </c>
      <c r="K604" s="108">
        <f>SUM(K601:K603)</f>
        <v>108814.94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18076.93+5875</f>
        <v>23951.93</v>
      </c>
      <c r="G610" s="18">
        <f>2659.8+923.98</f>
        <v>3583.78</v>
      </c>
      <c r="H610" s="18">
        <f>1245+5535</f>
        <v>6780</v>
      </c>
      <c r="I610" s="18"/>
      <c r="J610" s="18"/>
      <c r="K610" s="18"/>
      <c r="L610" s="88">
        <f>SUM(F610:K610)</f>
        <v>34315.71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23951.93</v>
      </c>
      <c r="G613" s="108">
        <f t="shared" si="49"/>
        <v>3583.78</v>
      </c>
      <c r="H613" s="108">
        <f t="shared" si="49"/>
        <v>6780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34315.71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918568.21</v>
      </c>
      <c r="H616" s="109">
        <f>SUM(F51)</f>
        <v>918568.21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48166.509999999995</v>
      </c>
      <c r="H617" s="109">
        <f>SUM(G51)</f>
        <v>48166.51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38240.17</v>
      </c>
      <c r="H618" s="109">
        <f>SUM(H51)</f>
        <v>38240.170000000006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310006.41000000003</v>
      </c>
      <c r="H620" s="109">
        <f>SUM(J51)</f>
        <v>310006.41000000003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476277.7</v>
      </c>
      <c r="H621" s="109">
        <f>F475</f>
        <v>476277.69999999925</v>
      </c>
      <c r="I621" s="121" t="s">
        <v>101</v>
      </c>
      <c r="J621" s="109">
        <f t="shared" ref="J621:J654" si="50">G621-H621</f>
        <v>7.5669959187507629E-10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42391.93</v>
      </c>
      <c r="H622" s="109">
        <f>G475</f>
        <v>42391.929999999993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310006.41000000003</v>
      </c>
      <c r="H625" s="109">
        <f>J475</f>
        <v>310006.40999999997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10434790.669999998</v>
      </c>
      <c r="H626" s="104">
        <f>SUM(F467)</f>
        <v>10434790.67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197633.73000000004</v>
      </c>
      <c r="H627" s="104">
        <f>SUM(G467)</f>
        <v>197633.73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422678.99</v>
      </c>
      <c r="H628" s="104">
        <f>SUM(H467)</f>
        <v>422678.99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100626.2</v>
      </c>
      <c r="H630" s="104">
        <f>SUM(J467)</f>
        <v>100626.2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10632567.620000001</v>
      </c>
      <c r="H631" s="104">
        <f>SUM(F471)</f>
        <v>10632567.620000001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422678.98999999993</v>
      </c>
      <c r="H632" s="104">
        <f>SUM(H471)</f>
        <v>422678.99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96915.83</v>
      </c>
      <c r="H633" s="104">
        <f>I368</f>
        <v>96915.83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220278.2</v>
      </c>
      <c r="H634" s="104">
        <f>SUM(G471)</f>
        <v>220278.2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100626.2</v>
      </c>
      <c r="H636" s="164">
        <f>SUM(J467)</f>
        <v>100626.2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100295.66</v>
      </c>
      <c r="H638" s="104">
        <f>SUM(F460)</f>
        <v>100295.66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209710.75</v>
      </c>
      <c r="H639" s="104">
        <f>SUM(G460)</f>
        <v>209710.75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310006.41000000003</v>
      </c>
      <c r="H641" s="104">
        <f>SUM(I460)</f>
        <v>310006.41000000003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626.20000000000005</v>
      </c>
      <c r="H643" s="104">
        <f>H407</f>
        <v>626.19999999999993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100000</v>
      </c>
      <c r="H644" s="104">
        <f>G407</f>
        <v>100000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100626.2</v>
      </c>
      <c r="H645" s="104">
        <f>L407</f>
        <v>100626.2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564252.74</v>
      </c>
      <c r="H646" s="104">
        <f>L207+L225+L243</f>
        <v>564252.74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108814.94</v>
      </c>
      <c r="H647" s="104">
        <f>(J256+J337)-(J254+J335)</f>
        <v>108814.94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446446.06</v>
      </c>
      <c r="H648" s="104">
        <f>H597</f>
        <v>446446.06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117806.68000000001</v>
      </c>
      <c r="H650" s="104">
        <f>J597</f>
        <v>117806.68000000001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100000</v>
      </c>
      <c r="H654" s="104">
        <f>K265+K346</f>
        <v>100000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7342509.4400000004</v>
      </c>
      <c r="G659" s="19">
        <f>(L228+L308+L358)</f>
        <v>41912.35</v>
      </c>
      <c r="H659" s="19">
        <f>(L246+L327+L359)</f>
        <v>3621974.22</v>
      </c>
      <c r="I659" s="19">
        <f>SUM(F659:H659)</f>
        <v>11006396.01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140128.79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140128.79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446446.06</v>
      </c>
      <c r="G661" s="19">
        <f>(L225+L305)-(J225+J305)</f>
        <v>0</v>
      </c>
      <c r="H661" s="19">
        <f>(L243+L324)-(J243+J324)</f>
        <v>117806.68000000001</v>
      </c>
      <c r="I661" s="19">
        <f>SUM(F661:H661)</f>
        <v>564252.74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181435.72</v>
      </c>
      <c r="G662" s="200">
        <f>SUM(G574:G586)+SUM(I601:I603)+L611</f>
        <v>41912.35</v>
      </c>
      <c r="H662" s="200">
        <f>SUM(H574:H586)+SUM(J601:J603)+L612</f>
        <v>3495536.6699999995</v>
      </c>
      <c r="I662" s="19">
        <f>SUM(F662:H662)</f>
        <v>3718884.7399999993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6574498.8700000001</v>
      </c>
      <c r="G663" s="19">
        <f>G659-SUM(G660:G662)</f>
        <v>0</v>
      </c>
      <c r="H663" s="19">
        <f>H659-SUM(H660:H662)</f>
        <v>8630.8700000005774</v>
      </c>
      <c r="I663" s="19">
        <f>I659-SUM(I660:I662)</f>
        <v>6583129.7400000002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583.55999999999995</v>
      </c>
      <c r="G664" s="249"/>
      <c r="H664" s="249"/>
      <c r="I664" s="19">
        <f>SUM(F664:H664)</f>
        <v>583.55999999999995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11266.19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11280.98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>
        <v>-8630.8700000000008</v>
      </c>
      <c r="I668" s="19">
        <f>SUM(F668:H668)</f>
        <v>-8630.8700000000008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11266.19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11266.19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Auburn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2304951.5099999998</v>
      </c>
      <c r="C9" s="230">
        <f>'DOE25'!G196+'DOE25'!G214+'DOE25'!G232+'DOE25'!G275+'DOE25'!G294+'DOE25'!G313</f>
        <v>901514.37</v>
      </c>
    </row>
    <row r="10" spans="1:3">
      <c r="A10" t="s">
        <v>779</v>
      </c>
      <c r="B10" s="241">
        <v>2202329.4500000002</v>
      </c>
      <c r="C10" s="241">
        <v>893247.21</v>
      </c>
    </row>
    <row r="11" spans="1:3">
      <c r="A11" t="s">
        <v>780</v>
      </c>
      <c r="B11" s="241">
        <v>32782.519999999997</v>
      </c>
      <c r="C11" s="241">
        <v>3058.68</v>
      </c>
    </row>
    <row r="12" spans="1:3">
      <c r="A12" t="s">
        <v>781</v>
      </c>
      <c r="B12" s="241">
        <v>69839.539999999994</v>
      </c>
      <c r="C12" s="241">
        <v>5208.4799999999996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2304951.5100000002</v>
      </c>
      <c r="C13" s="232">
        <f>SUM(C10:C12)</f>
        <v>901514.37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743973.16</v>
      </c>
      <c r="C18" s="230">
        <f>'DOE25'!G197+'DOE25'!G215+'DOE25'!G233+'DOE25'!G276+'DOE25'!G295+'DOE25'!G314</f>
        <v>246915.05999999997</v>
      </c>
    </row>
    <row r="19" spans="1:3">
      <c r="A19" t="s">
        <v>779</v>
      </c>
      <c r="B19" s="241">
        <v>352596.73</v>
      </c>
      <c r="C19" s="241">
        <v>142121.26999999999</v>
      </c>
    </row>
    <row r="20" spans="1:3">
      <c r="A20" t="s">
        <v>780</v>
      </c>
      <c r="B20" s="241">
        <v>284832.3</v>
      </c>
      <c r="C20" s="241">
        <v>48834.31</v>
      </c>
    </row>
    <row r="21" spans="1:3">
      <c r="A21" t="s">
        <v>781</v>
      </c>
      <c r="B21" s="241">
        <v>106544.13</v>
      </c>
      <c r="C21" s="241">
        <v>55959.48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743973.16</v>
      </c>
      <c r="C22" s="232">
        <f>SUM(C19:C21)</f>
        <v>246915.06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32670</v>
      </c>
      <c r="C36" s="236">
        <f>'DOE25'!G199+'DOE25'!G217+'DOE25'!G235+'DOE25'!G278+'DOE25'!G297+'DOE25'!G316</f>
        <v>4323.4400000000005</v>
      </c>
    </row>
    <row r="37" spans="1:3">
      <c r="A37" t="s">
        <v>779</v>
      </c>
      <c r="B37" s="241">
        <v>19174</v>
      </c>
      <c r="C37" s="241">
        <v>3298.69</v>
      </c>
    </row>
    <row r="38" spans="1:3">
      <c r="A38" t="s">
        <v>780</v>
      </c>
      <c r="B38" s="241">
        <v>2496</v>
      </c>
      <c r="C38" s="241">
        <v>184.94</v>
      </c>
    </row>
    <row r="39" spans="1:3">
      <c r="A39" t="s">
        <v>781</v>
      </c>
      <c r="B39" s="241">
        <v>11000</v>
      </c>
      <c r="C39" s="241">
        <v>839.81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32670</v>
      </c>
      <c r="C40" s="232">
        <f>SUM(C37:C39)</f>
        <v>4323.4400000000005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Auburn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7728875.8799999999</v>
      </c>
      <c r="D5" s="20">
        <f>SUM('DOE25'!L196:L199)+SUM('DOE25'!L214:L217)+SUM('DOE25'!L232:L235)-F5-G5</f>
        <v>7717327.2800000003</v>
      </c>
      <c r="E5" s="244"/>
      <c r="F5" s="256">
        <f>SUM('DOE25'!J196:J199)+SUM('DOE25'!J214:J217)+SUM('DOE25'!J232:J235)</f>
        <v>9904.6</v>
      </c>
      <c r="G5" s="53">
        <f>SUM('DOE25'!K196:K199)+SUM('DOE25'!K214:K217)+SUM('DOE25'!K232:K235)</f>
        <v>1644</v>
      </c>
      <c r="H5" s="260"/>
    </row>
    <row r="6" spans="1:9">
      <c r="A6" s="32">
        <v>2100</v>
      </c>
      <c r="B6" t="s">
        <v>801</v>
      </c>
      <c r="C6" s="246">
        <f t="shared" si="0"/>
        <v>584432.23</v>
      </c>
      <c r="D6" s="20">
        <f>'DOE25'!L201+'DOE25'!L219+'DOE25'!L237-F6-G6</f>
        <v>581493.65</v>
      </c>
      <c r="E6" s="244"/>
      <c r="F6" s="256">
        <f>'DOE25'!J201+'DOE25'!J219+'DOE25'!J237</f>
        <v>423.98</v>
      </c>
      <c r="G6" s="53">
        <f>'DOE25'!K201+'DOE25'!K219+'DOE25'!K237</f>
        <v>2514.6</v>
      </c>
      <c r="H6" s="260"/>
    </row>
    <row r="7" spans="1:9">
      <c r="A7" s="32">
        <v>2200</v>
      </c>
      <c r="B7" t="s">
        <v>834</v>
      </c>
      <c r="C7" s="246">
        <f t="shared" si="0"/>
        <v>76480.38</v>
      </c>
      <c r="D7" s="20">
        <f>'DOE25'!L202+'DOE25'!L220+'DOE25'!L238-F7-G7</f>
        <v>73730.05</v>
      </c>
      <c r="E7" s="244"/>
      <c r="F7" s="256">
        <f>'DOE25'!J202+'DOE25'!J220+'DOE25'!J238</f>
        <v>2660.33</v>
      </c>
      <c r="G7" s="53">
        <f>'DOE25'!K202+'DOE25'!K220+'DOE25'!K238</f>
        <v>90</v>
      </c>
      <c r="H7" s="260"/>
    </row>
    <row r="8" spans="1:9">
      <c r="A8" s="32">
        <v>2300</v>
      </c>
      <c r="B8" t="s">
        <v>802</v>
      </c>
      <c r="C8" s="246">
        <f t="shared" si="0"/>
        <v>187317.56</v>
      </c>
      <c r="D8" s="244"/>
      <c r="E8" s="20">
        <f>'DOE25'!L203+'DOE25'!L221+'DOE25'!L239-F8-G8-D9-D11</f>
        <v>183149.15</v>
      </c>
      <c r="F8" s="256">
        <f>'DOE25'!J203+'DOE25'!J221+'DOE25'!J239</f>
        <v>0</v>
      </c>
      <c r="G8" s="53">
        <f>'DOE25'!K203+'DOE25'!K221+'DOE25'!K239</f>
        <v>4168.41</v>
      </c>
      <c r="H8" s="260"/>
    </row>
    <row r="9" spans="1:9">
      <c r="A9" s="32">
        <v>2310</v>
      </c>
      <c r="B9" t="s">
        <v>818</v>
      </c>
      <c r="C9" s="246">
        <f t="shared" si="0"/>
        <v>49363.6</v>
      </c>
      <c r="D9" s="245">
        <v>49363.6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6500</v>
      </c>
      <c r="D10" s="244"/>
      <c r="E10" s="245">
        <v>6500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43483.44</v>
      </c>
      <c r="D11" s="245">
        <v>43483.44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355883.42</v>
      </c>
      <c r="D12" s="20">
        <f>'DOE25'!L204+'DOE25'!L222+'DOE25'!L240-F12-G12</f>
        <v>355230.42</v>
      </c>
      <c r="E12" s="244"/>
      <c r="F12" s="256">
        <f>'DOE25'!J204+'DOE25'!J222+'DOE25'!J240</f>
        <v>0</v>
      </c>
      <c r="G12" s="53">
        <f>'DOE25'!K204+'DOE25'!K222+'DOE25'!K240</f>
        <v>653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617930.77</v>
      </c>
      <c r="D14" s="20">
        <f>'DOE25'!L206+'DOE25'!L224+'DOE25'!L242-F14-G14</f>
        <v>584097.77</v>
      </c>
      <c r="E14" s="244"/>
      <c r="F14" s="256">
        <f>'DOE25'!J206+'DOE25'!J224+'DOE25'!J242</f>
        <v>33833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564252.74</v>
      </c>
      <c r="D15" s="20">
        <f>'DOE25'!L207+'DOE25'!L225+'DOE25'!L243-F15-G15</f>
        <v>564252.74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157375.79999999999</v>
      </c>
      <c r="D16" s="244"/>
      <c r="E16" s="20">
        <f>'DOE25'!L208+'DOE25'!L226+'DOE25'!L244-F16-G16</f>
        <v>114513.79999999999</v>
      </c>
      <c r="F16" s="256">
        <f>'DOE25'!J208+'DOE25'!J226+'DOE25'!J244</f>
        <v>42627</v>
      </c>
      <c r="G16" s="53">
        <f>'DOE25'!K208+'DOE25'!K226+'DOE25'!K244</f>
        <v>235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169128.8</v>
      </c>
      <c r="D22" s="244"/>
      <c r="E22" s="244"/>
      <c r="F22" s="256">
        <f>'DOE25'!L254+'DOE25'!L335</f>
        <v>169128.8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128681.59000000001</v>
      </c>
      <c r="D29" s="20">
        <f>'DOE25'!L357+'DOE25'!L358+'DOE25'!L359-'DOE25'!I366-F29-G29</f>
        <v>93949.590000000011</v>
      </c>
      <c r="E29" s="244"/>
      <c r="F29" s="256">
        <f>'DOE25'!J357+'DOE25'!J358+'DOE25'!J359</f>
        <v>34732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420721.99</v>
      </c>
      <c r="D31" s="20">
        <f>'DOE25'!L289+'DOE25'!L308+'DOE25'!L327+'DOE25'!L332+'DOE25'!L333+'DOE25'!L334-F31-G31</f>
        <v>393299.1</v>
      </c>
      <c r="E31" s="244"/>
      <c r="F31" s="256">
        <f>'DOE25'!J289+'DOE25'!J308+'DOE25'!J327+'DOE25'!J332+'DOE25'!J333+'DOE25'!J334</f>
        <v>19366.03</v>
      </c>
      <c r="G31" s="53">
        <f>'DOE25'!K289+'DOE25'!K308+'DOE25'!K327+'DOE25'!K332+'DOE25'!K333+'DOE25'!K334</f>
        <v>8056.86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10456227.639999999</v>
      </c>
      <c r="E33" s="247">
        <f>SUM(E5:E31)</f>
        <v>304162.94999999995</v>
      </c>
      <c r="F33" s="247">
        <f>SUM(F5:F31)</f>
        <v>312675.74</v>
      </c>
      <c r="G33" s="247">
        <f>SUM(G5:G31)</f>
        <v>17361.87</v>
      </c>
      <c r="H33" s="247">
        <f>SUM(H5:H31)</f>
        <v>0</v>
      </c>
    </row>
    <row r="35" spans="2:8" ht="12" thickBot="1">
      <c r="B35" s="254" t="s">
        <v>847</v>
      </c>
      <c r="D35" s="255">
        <f>E33</f>
        <v>304162.94999999995</v>
      </c>
      <c r="E35" s="250"/>
    </row>
    <row r="36" spans="2:8" ht="12" thickTop="1">
      <c r="B36" t="s">
        <v>815</v>
      </c>
      <c r="D36" s="20">
        <f>D33</f>
        <v>10456227.639999999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90" activePane="bottomLeft" state="frozen"/>
      <selection pane="bottomLeft" activeCell="C44" sqref="C44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Auburn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875336.01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36543.69</v>
      </c>
      <c r="D11" s="95">
        <f>'DOE25'!G12</f>
        <v>45106.77</v>
      </c>
      <c r="E11" s="95">
        <f>'DOE25'!H12</f>
        <v>0</v>
      </c>
      <c r="F11" s="95">
        <f>'DOE25'!I12</f>
        <v>0</v>
      </c>
      <c r="G11" s="95">
        <f>'DOE25'!J12</f>
        <v>310006.41000000003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6612.56</v>
      </c>
      <c r="D12" s="95">
        <f>'DOE25'!G13</f>
        <v>3059.74</v>
      </c>
      <c r="E12" s="95">
        <f>'DOE25'!H13</f>
        <v>38240.17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75.95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918568.21</v>
      </c>
      <c r="D18" s="41">
        <f>SUM(D8:D17)</f>
        <v>48166.509999999995</v>
      </c>
      <c r="E18" s="41">
        <f>SUM(E8:E17)</f>
        <v>38240.17</v>
      </c>
      <c r="F18" s="41">
        <f>SUM(F8:F17)</f>
        <v>0</v>
      </c>
      <c r="G18" s="41">
        <f>SUM(G8:G17)</f>
        <v>310006.41000000003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45106.77</v>
      </c>
      <c r="D21" s="95">
        <f>'DOE25'!G22</f>
        <v>0</v>
      </c>
      <c r="E21" s="95">
        <f>'DOE25'!H22</f>
        <v>36543.69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377347</v>
      </c>
      <c r="D23" s="95">
        <f>'DOE25'!G24</f>
        <v>49.41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17836.740000000002</v>
      </c>
      <c r="D27" s="95">
        <f>'DOE25'!G28</f>
        <v>302.57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5422.6</v>
      </c>
      <c r="E29" s="95">
        <f>'DOE25'!H30</f>
        <v>1696.48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2000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442290.51</v>
      </c>
      <c r="D31" s="41">
        <f>SUM(D21:D30)</f>
        <v>5774.58</v>
      </c>
      <c r="E31" s="41">
        <f>SUM(E21:E30)</f>
        <v>38240.170000000006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1632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40759.93</v>
      </c>
      <c r="E46" s="95">
        <f>'DOE25'!H47</f>
        <v>0</v>
      </c>
      <c r="F46" s="95">
        <f>'DOE25'!I47</f>
        <v>0</v>
      </c>
      <c r="G46" s="95">
        <f>'DOE25'!J47</f>
        <v>310006.41000000003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88111.77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288165.93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476277.7</v>
      </c>
      <c r="D49" s="41">
        <f>SUM(D34:D48)</f>
        <v>42391.93</v>
      </c>
      <c r="E49" s="41">
        <f>SUM(E34:E48)</f>
        <v>0</v>
      </c>
      <c r="F49" s="41">
        <f>SUM(F34:F48)</f>
        <v>0</v>
      </c>
      <c r="G49" s="41">
        <f>SUM(G34:G48)</f>
        <v>310006.41000000003</v>
      </c>
      <c r="H49" s="124"/>
      <c r="I49" s="124"/>
    </row>
    <row r="50" spans="1:9" ht="12" thickTop="1">
      <c r="A50" s="38" t="s">
        <v>895</v>
      </c>
      <c r="B50" s="2"/>
      <c r="C50" s="41">
        <f>C49+C31</f>
        <v>918568.21</v>
      </c>
      <c r="D50" s="41">
        <f>D49+D31</f>
        <v>48166.51</v>
      </c>
      <c r="E50" s="41">
        <f>E49+E31</f>
        <v>38240.170000000006</v>
      </c>
      <c r="F50" s="41">
        <f>F49+F31</f>
        <v>0</v>
      </c>
      <c r="G50" s="41">
        <f>G49+G31</f>
        <v>310006.41000000003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6829550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22401.38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751.83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626.20000000000005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140128.79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56626.020000000004</v>
      </c>
      <c r="D60" s="95">
        <f>SUM('DOE25'!G97:G109)</f>
        <v>0</v>
      </c>
      <c r="E60" s="95">
        <f>SUM('DOE25'!H97:H109)</f>
        <v>81754.14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79779.23000000001</v>
      </c>
      <c r="D61" s="130">
        <f>SUM(D56:D60)</f>
        <v>140128.79</v>
      </c>
      <c r="E61" s="130">
        <f>SUM(E56:E60)</f>
        <v>81754.14</v>
      </c>
      <c r="F61" s="130">
        <f>SUM(F56:F60)</f>
        <v>0</v>
      </c>
      <c r="G61" s="130">
        <f>SUM(G56:G60)</f>
        <v>626.20000000000005</v>
      </c>
      <c r="H61"/>
      <c r="I61"/>
    </row>
    <row r="62" spans="1:9" ht="12" thickTop="1">
      <c r="A62" s="29" t="s">
        <v>175</v>
      </c>
      <c r="B62" s="6"/>
      <c r="C62" s="22">
        <f>C55+C61</f>
        <v>6909329.2300000004</v>
      </c>
      <c r="D62" s="22">
        <f>D55+D61</f>
        <v>140128.79</v>
      </c>
      <c r="E62" s="22">
        <f>E55+E61</f>
        <v>81754.14</v>
      </c>
      <c r="F62" s="22">
        <f>F55+F61</f>
        <v>0</v>
      </c>
      <c r="G62" s="22">
        <f>G55+G61</f>
        <v>626.20000000000005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1865362.79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1482420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1616.21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6064.82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3355463.82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70468.67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2665.89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70468.67</v>
      </c>
      <c r="D77" s="130">
        <f>SUM(D71:D76)</f>
        <v>2665.89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3425932.4899999998</v>
      </c>
      <c r="D80" s="130">
        <f>SUM(D78:D79)+D77+D69</f>
        <v>2665.89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99528.95</v>
      </c>
      <c r="D87" s="95">
        <f>SUM('DOE25'!G152:G160)</f>
        <v>54839.05</v>
      </c>
      <c r="E87" s="95">
        <f>SUM('DOE25'!H152:H160)</f>
        <v>340923.33999999997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1.51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99528.95</v>
      </c>
      <c r="D90" s="131">
        <f>SUM(D84:D89)</f>
        <v>54839.05</v>
      </c>
      <c r="E90" s="131">
        <f>SUM(E84:E89)</f>
        <v>340924.85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100000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100000</v>
      </c>
    </row>
    <row r="103" spans="1:7" ht="12.75" thickTop="1" thickBot="1">
      <c r="A103" s="33" t="s">
        <v>765</v>
      </c>
      <c r="C103" s="86">
        <f>C62+C80+C90+C102</f>
        <v>10434790.67</v>
      </c>
      <c r="D103" s="86">
        <f>D62+D80+D90+D102</f>
        <v>197633.73000000004</v>
      </c>
      <c r="E103" s="86">
        <f>E62+E80+E90+E102</f>
        <v>422678.99</v>
      </c>
      <c r="F103" s="86">
        <f>F62+F80+F90+F102</f>
        <v>0</v>
      </c>
      <c r="G103" s="86">
        <f>G62+G80+G102</f>
        <v>100626.2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5796938.9600000009</v>
      </c>
      <c r="D108" s="24" t="s">
        <v>289</v>
      </c>
      <c r="E108" s="95">
        <f>('DOE25'!L275)+('DOE25'!L294)+('DOE25'!L313)</f>
        <v>110524.18999999999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1881773.4</v>
      </c>
      <c r="D109" s="24" t="s">
        <v>289</v>
      </c>
      <c r="E109" s="95">
        <f>('DOE25'!L276)+('DOE25'!L295)+('DOE25'!L314)</f>
        <v>118282.72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50163.520000000004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7728875.8800000008</v>
      </c>
      <c r="D114" s="86">
        <f>SUM(D108:D113)</f>
        <v>0</v>
      </c>
      <c r="E114" s="86">
        <f>SUM(E108:E113)</f>
        <v>228806.90999999997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584432.23</v>
      </c>
      <c r="D117" s="24" t="s">
        <v>289</v>
      </c>
      <c r="E117" s="95">
        <f>+('DOE25'!L280)+('DOE25'!L299)+('DOE25'!L318)</f>
        <v>123163.96999999999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76480.38</v>
      </c>
      <c r="D118" s="24" t="s">
        <v>289</v>
      </c>
      <c r="E118" s="95">
        <f>+('DOE25'!L281)+('DOE25'!L300)+('DOE25'!L319)</f>
        <v>31178.07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280164.59999999998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355883.42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8056.86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617930.77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564252.74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157375.79999999999</v>
      </c>
      <c r="D124" s="24" t="s">
        <v>289</v>
      </c>
      <c r="E124" s="95">
        <f>+('DOE25'!L287)+('DOE25'!L306)+('DOE25'!L325)</f>
        <v>29516.18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220278.2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2636519.9399999995</v>
      </c>
      <c r="D127" s="86">
        <f>SUM(D117:D126)</f>
        <v>220278.2</v>
      </c>
      <c r="E127" s="86">
        <f>SUM(E117:E126)</f>
        <v>191915.07999999996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167171.79999999999</v>
      </c>
      <c r="D129" s="24" t="s">
        <v>289</v>
      </c>
      <c r="E129" s="129">
        <f>'DOE25'!L335</f>
        <v>1957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17625.52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83000.679999999993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-626.19999999999709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267171.8</v>
      </c>
      <c r="D143" s="141">
        <f>SUM(D129:D142)</f>
        <v>0</v>
      </c>
      <c r="E143" s="141">
        <f>SUM(E129:E142)</f>
        <v>1957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10632567.620000001</v>
      </c>
      <c r="D144" s="86">
        <f>(D114+D127+D143)</f>
        <v>220278.2</v>
      </c>
      <c r="E144" s="86">
        <f>(E114+E127+E143)</f>
        <v>422678.98999999993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Auburn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11266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11266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5907463</v>
      </c>
      <c r="D10" s="182">
        <f>ROUND((C10/$C$28)*100,1)</f>
        <v>54.4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2000056</v>
      </c>
      <c r="D11" s="182">
        <f>ROUND((C11/$C$28)*100,1)</f>
        <v>18.399999999999999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50164</v>
      </c>
      <c r="D13" s="182">
        <f>ROUND((C13/$C$28)*100,1)</f>
        <v>0.5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707596</v>
      </c>
      <c r="D15" s="182">
        <f t="shared" ref="D15:D27" si="0">ROUND((C15/$C$28)*100,1)</f>
        <v>6.5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107658</v>
      </c>
      <c r="D16" s="182">
        <f t="shared" si="0"/>
        <v>1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467057</v>
      </c>
      <c r="D17" s="182">
        <f t="shared" si="0"/>
        <v>4.3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355883</v>
      </c>
      <c r="D18" s="182">
        <f t="shared" si="0"/>
        <v>3.3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8057</v>
      </c>
      <c r="D19" s="182">
        <f t="shared" si="0"/>
        <v>0.1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617931</v>
      </c>
      <c r="D20" s="182">
        <f t="shared" si="0"/>
        <v>5.7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564253</v>
      </c>
      <c r="D21" s="182">
        <f t="shared" si="0"/>
        <v>5.2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80149.209999999992</v>
      </c>
      <c r="D27" s="182">
        <f t="shared" si="0"/>
        <v>0.7</v>
      </c>
    </row>
    <row r="28" spans="1:4">
      <c r="B28" s="187" t="s">
        <v>723</v>
      </c>
      <c r="C28" s="180">
        <f>SUM(C10:C27)</f>
        <v>10866267.210000001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169129</v>
      </c>
    </row>
    <row r="30" spans="1:4">
      <c r="B30" s="187" t="s">
        <v>729</v>
      </c>
      <c r="C30" s="180">
        <f>SUM(C28:C29)</f>
        <v>11035396.210000001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6829550</v>
      </c>
      <c r="D35" s="182">
        <f t="shared" ref="D35:D40" si="1">ROUND((C35/$C$41)*100,1)</f>
        <v>62.6</v>
      </c>
    </row>
    <row r="36" spans="1:4">
      <c r="B36" s="185" t="s">
        <v>743</v>
      </c>
      <c r="C36" s="179">
        <f>SUM('DOE25'!F111:J111)-SUM('DOE25'!G96:G109)+('DOE25'!F173+'DOE25'!F174+'DOE25'!I173+'DOE25'!I174)-C35</f>
        <v>162159.56999999937</v>
      </c>
      <c r="D36" s="182">
        <f t="shared" si="1"/>
        <v>1.5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3349399</v>
      </c>
      <c r="D37" s="182">
        <f t="shared" si="1"/>
        <v>30.7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79199</v>
      </c>
      <c r="D38" s="182">
        <f t="shared" si="1"/>
        <v>0.7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495293</v>
      </c>
      <c r="D39" s="182">
        <f t="shared" si="1"/>
        <v>4.5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10915600.57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88" t="str">
        <f>'DOE25'!A2</f>
        <v>Auburn School District</v>
      </c>
      <c r="G2" s="289"/>
      <c r="H2" s="289"/>
      <c r="I2" s="289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2012-09-13T12:06:20Z</cp:lastPrinted>
  <dcterms:created xsi:type="dcterms:W3CDTF">1997-12-04T19:04:30Z</dcterms:created>
  <dcterms:modified xsi:type="dcterms:W3CDTF">2012-11-28T13:33:23Z</dcterms:modified>
</cp:coreProperties>
</file>