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5" i="10"/>
  <c r="C16" i="10"/>
  <c r="C17" i="10"/>
  <c r="C19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C112" i="2"/>
  <c r="E112" i="2"/>
  <c r="C113" i="2"/>
  <c r="E113" i="2"/>
  <c r="C114" i="2"/>
  <c r="D114" i="2"/>
  <c r="F114" i="2"/>
  <c r="G114" i="2"/>
  <c r="C117" i="2"/>
  <c r="E117" i="2"/>
  <c r="E118" i="2"/>
  <c r="C119" i="2"/>
  <c r="E119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F102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E31" i="2"/>
  <c r="C31" i="2"/>
  <c r="G61" i="2"/>
  <c r="D29" i="13"/>
  <c r="C29" i="13" s="1"/>
  <c r="D19" i="13"/>
  <c r="C19" i="13" s="1"/>
  <c r="E13" i="13"/>
  <c r="C13" i="13" s="1"/>
  <c r="J653" i="1" l="1"/>
  <c r="J652" i="1"/>
  <c r="J649" i="1"/>
  <c r="I433" i="1"/>
  <c r="G433" i="1"/>
  <c r="I337" i="1"/>
  <c r="I351" i="1" s="1"/>
  <c r="C61" i="2"/>
  <c r="C18" i="10"/>
  <c r="E111" i="2"/>
  <c r="C118" i="2"/>
  <c r="G570" i="1"/>
  <c r="F544" i="1"/>
  <c r="J616" i="1"/>
  <c r="C62" i="2"/>
  <c r="J641" i="1"/>
  <c r="L361" i="1"/>
  <c r="D50" i="2"/>
  <c r="D18" i="2"/>
  <c r="E114" i="2"/>
  <c r="C13" i="10"/>
  <c r="L289" i="1"/>
  <c r="E90" i="2"/>
  <c r="J648" i="1"/>
  <c r="C120" i="2"/>
  <c r="D7" i="13"/>
  <c r="C7" i="13" s="1"/>
  <c r="A22" i="12"/>
  <c r="G33" i="13"/>
  <c r="F139" i="1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C39" i="10"/>
  <c r="L564" i="1"/>
  <c r="G544" i="1"/>
  <c r="L544" i="1"/>
  <c r="H544" i="1"/>
  <c r="K550" i="1"/>
  <c r="K551" i="1" s="1"/>
  <c r="F143" i="2"/>
  <c r="F144" i="2" s="1"/>
  <c r="E103" i="2" l="1"/>
  <c r="H192" i="1"/>
  <c r="G628" i="1" s="1"/>
  <c r="J628" i="1" s="1"/>
  <c r="C36" i="10"/>
  <c r="L570" i="1"/>
  <c r="J647" i="1"/>
  <c r="C27" i="10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G663" i="1"/>
  <c r="D37" i="10"/>
  <c r="D35" i="10"/>
  <c r="D40" i="10"/>
  <c r="D36" i="10"/>
  <c r="D38" i="10"/>
  <c r="J625" i="1"/>
  <c r="D41" i="10" l="1"/>
  <c r="G671" i="1"/>
  <c r="G666" i="1"/>
  <c r="H210" i="1"/>
  <c r="H256" i="1" s="1"/>
  <c r="H270" i="1" s="1"/>
  <c r="L206" i="1"/>
  <c r="C20" i="10" s="1"/>
  <c r="C28" i="10" l="1"/>
  <c r="D20" i="10" s="1"/>
  <c r="L210" i="1"/>
  <c r="C122" i="2"/>
  <c r="C127" i="2" s="1"/>
  <c r="C144" i="2" s="1"/>
  <c r="D14" i="13"/>
  <c r="D33" i="13" l="1"/>
  <c r="D36" i="13" s="1"/>
  <c r="C14" i="13"/>
  <c r="L256" i="1"/>
  <c r="L270" i="1" s="1"/>
  <c r="G631" i="1" s="1"/>
  <c r="F659" i="1"/>
  <c r="D17" i="10"/>
  <c r="D12" i="10"/>
  <c r="D22" i="10"/>
  <c r="D13" i="10"/>
  <c r="D27" i="10"/>
  <c r="D16" i="10"/>
  <c r="D11" i="10"/>
  <c r="D18" i="10"/>
  <c r="D10" i="10"/>
  <c r="D25" i="10"/>
  <c r="D19" i="10"/>
  <c r="D15" i="10"/>
  <c r="D26" i="10"/>
  <c r="D23" i="10"/>
  <c r="C30" i="10"/>
  <c r="D21" i="10"/>
  <c r="D24" i="10"/>
  <c r="J631" i="1" l="1"/>
  <c r="H655" i="1"/>
  <c r="D28" i="10"/>
  <c r="F663" i="1"/>
  <c r="I659" i="1"/>
  <c r="I663" i="1" s="1"/>
  <c r="F666" i="1" l="1"/>
  <c r="F671" i="1"/>
  <c r="C4" i="10" s="1"/>
  <c r="I666" i="1"/>
  <c r="I671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<sst xmlns="http://schemas.openxmlformats.org/spreadsheetml/2006/main" count="3946" uniqueCount="913">
  <si>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</si>
  <si>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</si>
  <si>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</si>
  <si>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</si>
  <si>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</si>
  <si>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</si>
  <si>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</si>
  <si>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</si>
  <si>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</si>
  <si>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</si>
  <si>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</si>
  <si>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</si>
  <si>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</si>
  <si>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</si>
  <si>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</si>
  <si>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</si>
  <si>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</si>
  <si>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</si>
  <si>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</si>
  <si>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</si>
  <si>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</si>
  <si>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</si>
  <si>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</si>
  <si>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</si>
  <si>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</si>
  <si>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</si>
  <si>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</si>
  <si>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</si>
  <si>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</si>
  <si>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</si>
  <si>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</si>
  <si>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</si>
  <si>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</si>
  <si>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</si>
  <si>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</si>
  <si>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</si>
  <si>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</si>
  <si>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</si>
  <si>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</si>
  <si>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</si>
  <si>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</si>
  <si>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</si>
  <si>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</si>
  <si>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</si>
  <si>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</si>
  <si>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</si>
  <si>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</si>
  <si>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</si>
  <si>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</si>
  <si>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</si>
  <si>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</si>
  <si>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</si>
  <si>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</si>
  <si>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</si>
  <si>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</si>
  <si>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</si>
  <si>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</si>
  <si>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</si>
  <si>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</si>
  <si>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</si>
  <si>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</si>
  <si>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</si>
  <si>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</si>
  <si>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</si>
  <si>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</si>
  <si>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</si>
  <si>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</si>
  <si>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</si>
  <si>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</si>
  <si>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</si>
  <si>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</si>
  <si>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</si>
  <si>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</si>
  <si>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</si>
  <si>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</si>
  <si>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</si>
  <si>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</si>
  <si>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</si>
  <si>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</si>
  <si>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</si>
  <si>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</si>
  <si>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</si>
  <si>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</si>
  <si>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</si>
  <si>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</si>
  <si>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</si>
  <si>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</si>
  <si>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</si>
  <si>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</si>
  <si>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</si>
  <si>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</si>
  <si>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</si>
  <si>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</si>
  <si>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</si>
  <si>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</si>
  <si>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</si>
  <si>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</si>
  <si>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</si>
  <si>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</si>
  <si>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</si>
  <si>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</si>
  <si>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</si>
  <si>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</si>
  <si>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</si>
  <si>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</si>
  <si>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</si>
  <si>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</si>
  <si>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</si>
  <si>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</si>
  <si>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</si>
  <si>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</si>
  <si>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</si>
  <si>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</si>
  <si>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</si>
  <si>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</si>
  <si>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</si>
  <si>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</si>
  <si>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</si>
  <si>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</si>
  <si>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</si>
  <si>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</si>
  <si>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</si>
  <si>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</si>
  <si>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</si>
  <si>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</si>
  <si>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</si>
  <si>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</si>
  <si>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</si>
  <si>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</si>
  <si>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</si>
  <si>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</si>
  <si>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</si>
  <si>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</si>
  <si>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</si>
  <si>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</si>
  <si>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</si>
  <si>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</si>
  <si>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</si>
  <si>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</si>
  <si>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</si>
  <si>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</si>
  <si>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</si>
  <si>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</si>
  <si>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</si>
  <si>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</si>
  <si>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</si>
  <si>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</si>
  <si>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</si>
  <si>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</si>
  <si>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</si>
  <si>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</si>
  <si>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</si>
  <si>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</si>
  <si>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</si>
  <si>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</si>
  <si>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</si>
  <si>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</si>
  <si>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</si>
  <si>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</si>
  <si>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</si>
  <si>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</si>
  <si>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</si>
  <si>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</si>
  <si>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</si>
  <si>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</si>
  <si>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</si>
  <si>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</si>
  <si>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</si>
  <si>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</si>
  <si>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</si>
  <si>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</si>
  <si>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</si>
  <si>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</si>
  <si>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</si>
  <si>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</si>
  <si>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</si>
  <si>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</si>
  <si>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</si>
  <si>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</si>
  <si>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</si>
  <si>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</si>
  <si>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</si>
  <si>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</si>
  <si>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</si>
  <si>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</si>
  <si>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</si>
  <si>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</si>
  <si>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</si>
  <si>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</si>
  <si>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</si>
  <si>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</si>
  <si>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</si>
  <si>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</si>
  <si>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</si>
  <si>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</si>
  <si>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</si>
  <si>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</si>
  <si>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</si>
  <si>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</si>
  <si>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</si>
  <si>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</si>
  <si>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</si>
  <si>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</si>
  <si>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</si>
  <si>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</si>
  <si>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</si>
  <si>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</si>
  <si>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</si>
  <si>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</si>
  <si>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</si>
  <si>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</si>
  <si>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</si>
  <si>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</si>
  <si>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</si>
  <si>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</si>
  <si>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</si>
  <si>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</si>
  <si>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</si>
  <si>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</si>
  <si>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</si>
  <si>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</si>
  <si>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</si>
  <si>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</si>
  <si>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</si>
  <si>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</si>
  <si>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</si>
  <si>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</si>
  <si>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</si>
  <si>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</si>
  <si>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</si>
  <si>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</si>
  <si>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</si>
  <si>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</si>
  <si>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</si>
  <si>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</si>
  <si>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</si>
  <si>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</si>
  <si>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</si>
  <si>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</si>
  <si>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</si>
  <si>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</si>
  <si>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</si>
  <si>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</si>
  <si>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</si>
  <si>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</si>
  <si>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</si>
  <si>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</si>
  <si>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</si>
  <si>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</si>
  <si>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</si>
  <si>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</si>
  <si>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</si>
  <si>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</si>
  <si>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</si>
  <si>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</si>
  <si>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</si>
  <si>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</si>
  <si>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</si>
  <si>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</si>
  <si>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</si>
  <si>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</si>
  <si>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</si>
  <si>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</si>
  <si>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</si>
  <si>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</si>
  <si>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</si>
  <si>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</si>
  <si>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</si>
  <si>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</si>
  <si>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</si>
  <si>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</si>
  <si>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</si>
  <si>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</si>
  <si>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</si>
  <si>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</si>
  <si>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</si>
  <si>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</si>
  <si>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</si>
  <si>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</si>
  <si>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</si>
  <si>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</si>
  <si>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</si>
  <si>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</si>
  <si>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</si>
  <si>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</si>
  <si>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</si>
  <si>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</si>
  <si>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</si>
  <si>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</si>
  <si>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</si>
  <si>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</si>
  <si>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</si>
  <si>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</si>
  <si>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</si>
  <si>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</si>
  <si>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</si>
  <si>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</si>
  <si>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</si>
  <si>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</si>
  <si>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</si>
  <si>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</si>
  <si>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</si>
  <si>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</si>
  <si>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</si>
  <si>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</si>
  <si>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</si>
  <si>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</si>
  <si>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</si>
  <si>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</si>
  <si>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</si>
  <si>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</si>
  <si>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</si>
  <si>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</si>
  <si>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</si>
  <si>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</si>
  <si>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</si>
  <si>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</si>
  <si>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</si>
  <si>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</si>
  <si>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</si>
  <si>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</si>
  <si>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</si>
  <si>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</si>
  <si>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</si>
  <si>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</si>
  <si>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</si>
  <si>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</si>
  <si>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</si>
  <si>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</si>
  <si>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</si>
  <si>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</si>
  <si>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</si>
  <si>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</si>
  <si>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</si>
  <si>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</si>
  <si>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</si>
  <si>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</si>
  <si>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</si>
  <si>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</si>
  <si>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</si>
  <si>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</si>
  <si>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</si>
  <si>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</si>
  <si>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</si>
  <si>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</si>
  <si>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</si>
  <si>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</si>
  <si>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</si>
  <si>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</si>
  <si>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</si>
  <si>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</si>
  <si>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</si>
  <si>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</si>
  <si>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</si>
  <si>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</si>
  <si>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</si>
  <si>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</si>
  <si>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</si>
  <si>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</si>
  <si>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</si>
  <si>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</si>
  <si>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</si>
  <si>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</si>
  <si>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</si>
  <si>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</si>
  <si>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</si>
  <si>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</si>
  <si>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</si>
  <si>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</si>
  <si>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</si>
  <si>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</si>
  <si>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</si>
  <si>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</si>
  <si>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</si>
  <si>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</si>
  <si>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</si>
  <si>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</si>
  <si>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</si>
  <si>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</si>
  <si>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</si>
  <si>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</si>
  <si>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</si>
  <si>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</si>
  <si>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</si>
  <si>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</si>
  <si>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</si>
  <si>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</si>
  <si>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</si>
  <si>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</si>
  <si>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</si>
  <si>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</si>
  <si>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</si>
  <si>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</si>
  <si>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</si>
  <si>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</si>
  <si>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</si>
  <si>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</si>
  <si>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</si>
  <si>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</si>
  <si>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</si>
  <si>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</si>
  <si>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</si>
  <si>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</si>
  <si>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</si>
  <si>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</si>
  <si>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</si>
  <si>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</si>
  <si>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</si>
  <si>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</si>
  <si>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</si>
  <si>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</si>
  <si>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</si>
  <si>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</si>
  <si>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</si>
  <si>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</si>
  <si>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</si>
  <si>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</si>
  <si>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</si>
  <si>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</si>
  <si>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</si>
  <si>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</si>
  <si>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</si>
  <si>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</si>
  <si>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</si>
  <si>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</si>
  <si>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</si>
  <si>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</si>
  <si>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</si>
  <si>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</si>
  <si>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</si>
  <si>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</si>
  <si>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</si>
  <si>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</si>
  <si>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</si>
  <si>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</si>
  <si>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</si>
  <si>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</si>
  <si>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</si>
  <si>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</si>
  <si>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</si>
  <si>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</si>
  <si>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</si>
  <si>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</si>
  <si>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</si>
  <si>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</si>
  <si>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</si>
  <si>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</si>
  <si>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</si>
  <si>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</si>
  <si>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</si>
  <si>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</si>
  <si>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</si>
  <si>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</si>
  <si>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</si>
  <si>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</si>
  <si>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</si>
  <si>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</si>
  <si>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</si>
  <si>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</si>
  <si>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</si>
  <si>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</si>
  <si>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</si>
  <si>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</si>
  <si>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</si>
  <si>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</si>
  <si>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</si>
  <si>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</si>
  <si>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</si>
  <si>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</si>
  <si>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</si>
  <si>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</si>
  <si>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</si>
  <si>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</si>
  <si>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</si>
  <si>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</si>
  <si>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</si>
  <si>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</si>
  <si>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</si>
  <si>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</si>
  <si>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</si>
  <si>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</si>
  <si>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</si>
  <si>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</si>
  <si>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</si>
  <si>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</si>
  <si>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</si>
  <si>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</si>
  <si>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</si>
  <si>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</si>
  <si>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</si>
  <si>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</si>
  <si>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</si>
  <si>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</si>
  <si>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</si>
  <si>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</si>
  <si>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</si>
  <si>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</si>
  <si>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</si>
  <si>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</si>
  <si>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</si>
  <si>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</si>
  <si>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</si>
  <si>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</si>
  <si>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</si>
  <si>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</si>
  <si>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</si>
  <si>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</si>
  <si>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</si>
  <si>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</si>
  <si>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</si>
  <si>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</si>
  <si>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</si>
  <si>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</si>
  <si>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</si>
  <si>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</si>
  <si>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</si>
  <si>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</si>
  <si>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</si>
  <si>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</si>
  <si>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</si>
  <si>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</si>
  <si>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</si>
  <si>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</si>
  <si>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</si>
  <si>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</si>
  <si>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</si>
  <si>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</si>
  <si>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</si>
  <si>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</si>
  <si>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</si>
  <si>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</si>
  <si>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</si>
  <si>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</si>
  <si>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</si>
  <si>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</si>
  <si>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</si>
  <si>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</si>
  <si>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</si>
  <si>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</si>
  <si>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</si>
  <si>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</si>
  <si>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</si>
  <si>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</si>
  <si>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</si>
  <si>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</si>
  <si>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</si>
  <si>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</si>
  <si>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</si>
  <si>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</si>
  <si>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</si>
  <si>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</si>
  <si>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</si>
  <si>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</si>
  <si>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</si>
  <si>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</si>
  <si>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</si>
  <si>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</si>
  <si>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</si>
  <si>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</si>
  <si>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</si>
  <si>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</si>
  <si>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</si>
  <si>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</si>
  <si>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</si>
  <si>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</si>
  <si>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</si>
  <si>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</si>
  <si>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</si>
  <si>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</si>
  <si>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</si>
  <si>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</si>
  <si>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</si>
  <si>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</si>
  <si>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</si>
  <si>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</si>
  <si>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</si>
  <si>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</si>
  <si>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</si>
  <si>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</si>
  <si>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</si>
  <si>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</si>
  <si>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</si>
  <si>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</si>
  <si>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</si>
  <si>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</si>
  <si>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</si>
  <si>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</si>
  <si>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</si>
  <si>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</si>
  <si>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</si>
  <si>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</si>
  <si>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</si>
  <si>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</si>
  <si>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</si>
  <si>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</si>
  <si>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</si>
  <si>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</si>
  <si>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</si>
  <si>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</si>
  <si>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</si>
  <si>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</si>
  <si>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</si>
  <si>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</si>
  <si>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</si>
  <si>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</si>
  <si>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</si>
  <si>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</si>
  <si>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</si>
  <si>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</si>
  <si>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</si>
  <si>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</si>
  <si>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</si>
  <si>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</si>
  <si>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</si>
  <si>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</si>
  <si>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</si>
  <si>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</si>
  <si>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</si>
  <si>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</si>
  <si>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</si>
  <si>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</si>
  <si>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</si>
  <si>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</si>
  <si>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</si>
  <si>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</si>
  <si>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</si>
  <si>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</si>
  <si>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</si>
  <si>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</si>
  <si>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</si>
  <si>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</si>
  <si>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</si>
  <si>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</si>
  <si>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</si>
  <si>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</si>
  <si>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</si>
  <si>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</si>
  <si>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</si>
  <si>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</si>
  <si>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</si>
  <si>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</si>
  <si>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</si>
  <si>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</si>
  <si>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</si>
  <si>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</si>
  <si>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</si>
  <si>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</si>
  <si>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</si>
  <si>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</si>
  <si>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</si>
  <si>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</si>
  <si>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</si>
  <si>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</si>
  <si>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</si>
  <si>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</si>
  <si>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</si>
  <si>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</si>
  <si>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</si>
  <si>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</si>
  <si>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</si>
  <si>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</si>
  <si>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</si>
  <si>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</si>
  <si>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</si>
  <si>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</si>
  <si>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</si>
  <si>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</si>
  <si>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</si>
  <si>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</si>
  <si>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</si>
  <si>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</si>
  <si>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</si>
  <si>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</si>
  <si>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</si>
  <si>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</si>
  <si>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</si>
  <si>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</si>
  <si>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</si>
  <si>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</si>
  <si>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</si>
  <si>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</si>
  <si>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</si>
  <si>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</si>
  <si>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</si>
  <si>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</si>
  <si>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</si>
  <si>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</si>
  <si>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</si>
  <si>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</si>
  <si>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</si>
  <si>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</si>
  <si>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</si>
  <si>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</si>
  <si>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</si>
  <si>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</si>
  <si>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</si>
  <si>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</si>
  <si>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</si>
  <si>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</si>
  <si>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</si>
  <si>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</si>
  <si>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</si>
  <si>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</si>
  <si>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</si>
  <si>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</si>
  <si>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</si>
  <si>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</si>
  <si>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</si>
  <si>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</si>
  <si>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</si>
  <si>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</si>
  <si>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</si>
  <si>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</si>
  <si>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</si>
  <si>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</si>
  <si>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</si>
  <si>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</si>
  <si>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</si>
  <si>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</si>
  <si>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</si>
  <si>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</si>
  <si>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</si>
  <si>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</si>
  <si>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</si>
  <si>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</si>
  <si>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</si>
  <si>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</si>
  <si>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</si>
  <si>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</si>
  <si>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</si>
  <si>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</si>
  <si>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</si>
  <si>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</si>
  <si>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</si>
  <si>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</si>
  <si>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</si>
  <si>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</si>
  <si>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</si>
  <si>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</si>
  <si>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</si>
  <si>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</si>
  <si>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</si>
  <si>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</si>
  <si>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</si>
  <si>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</si>
  <si>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</si>
  <si>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</si>
  <si>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</si>
  <si>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</si>
  <si>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</si>
  <si>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</si>
  <si>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</si>
  <si>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</si>
  <si>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</si>
  <si>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</si>
  <si>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</si>
  <si>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</si>
  <si>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</si>
  <si>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</si>
  <si>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</si>
  <si>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</si>
  <si>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</si>
  <si>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</si>
  <si>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</si>
  <si>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</si>
  <si>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</si>
  <si>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</si>
  <si>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</si>
  <si>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</si>
  <si>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</si>
  <si>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</si>
  <si>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</si>
  <si>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</si>
  <si>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</si>
  <si>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</si>
  <si>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</si>
  <si>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</si>
  <si>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</si>
  <si>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</si>
  <si>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</si>
  <si>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</si>
  <si>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</si>
  <si>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</si>
  <si>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</si>
  <si>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</si>
  <si>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</si>
  <si>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</si>
  <si>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</si>
  <si>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</si>
  <si>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</si>
  <si>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</si>
  <si>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</si>
  <si>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</si>
  <si>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</si>
  <si>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</si>
  <si>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</si>
  <si>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</si>
  <si>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</si>
  <si>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</si>
  <si>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</si>
  <si>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</si>
  <si>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</si>
  <si>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</si>
  <si>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</si>
  <si>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</si>
  <si>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</si>
  <si>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</si>
  <si>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</si>
  <si>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</si>
  <si>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</si>
  <si>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</si>
  <si>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</si>
  <si>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</si>
  <si>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</si>
  <si>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</si>
  <si>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</si>
  <si>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</si>
  <si>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</si>
  <si>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</si>
  <si>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</si>
  <si>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</si>
  <si>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</si>
  <si>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</si>
  <si>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</si>
  <si>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</si>
  <si>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</si>
  <si>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</si>
  <si>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</si>
  <si>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</si>
  <si>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</si>
  <si>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</si>
  <si>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</si>
  <si>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</si>
  <si>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</si>
  <si>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</si>
  <si>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</si>
  <si>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</si>
  <si>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</si>
  <si>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</si>
  <si>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</si>
  <si>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</si>
  <si>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</si>
  <si>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</si>
  <si>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</si>
  <si>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</si>
  <si>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</si>
  <si>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</si>
  <si>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</si>
  <si>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</si>
  <si>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</si>
  <si>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</si>
  <si>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</si>
  <si>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</si>
  <si>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</si>
  <si>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</si>
  <si>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</si>
  <si>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</si>
  <si>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</si>
  <si>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</si>
  <si>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</si>
  <si>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</si>
  <si>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</si>
  <si>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</si>
  <si>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</si>
  <si>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</si>
  <si>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</si>
  <si>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</si>
  <si>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</si>
  <si>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</si>
  <si>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</si>
  <si>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</si>
  <si>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</si>
  <si>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</si>
  <si>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</si>
  <si>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</si>
  <si>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</si>
  <si>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</si>
  <si>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</si>
  <si>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</si>
  <si>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</si>
  <si>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</si>
  <si>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</si>
  <si>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</si>
  <si>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</si>
  <si>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</si>
  <si>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</si>
  <si>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</si>
  <si>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</si>
  <si>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</si>
  <si>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</si>
  <si>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</si>
  <si>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</si>
  <si>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</si>
  <si>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</si>
  <si>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</si>
  <si>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</si>
  <si>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</si>
  <si>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</si>
  <si>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</si>
  <si>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</si>
  <si>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</si>
  <si>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</si>
  <si>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</si>
  <si>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</si>
  <si>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</si>
  <si>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</si>
  <si>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</si>
  <si>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</si>
  <si>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</si>
  <si>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09/02</t>
  </si>
  <si>
    <t>08/22</t>
  </si>
  <si>
    <t>assessment deposited after 7/1/2012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</si>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</sst>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38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F49" sqref="F4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912</v>
      </c>
      <c r="B2" s="21">
        <v>31</v>
      </c>
      <c r="C2" s="21">
        <v>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104922.75</v>
      </c>
      <c r="G9" s="18">
        <v>2411.84</v>
      </c>
      <c r="H9" s="18"/>
      <c r="I9" s="18"/>
      <c r="J9" s="67">
        <f>SUM(I438)</f>
        <v>655414.16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37494.120000000003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89788.12</v>
      </c>
      <c r="G13" s="18"/>
      <c r="H13" s="18">
        <v>62720.43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14758.27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1652.48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246963.25999999998</v>
      </c>
      <c r="G19" s="41">
        <f>SUM(G9:G18)</f>
        <v>4064.32</v>
      </c>
      <c r="H19" s="41">
        <f>SUM(H9:H18)</f>
        <v>62720.43</v>
      </c>
      <c r="I19" s="41">
        <f>SUM(I9:I18)</f>
        <v>0</v>
      </c>
      <c r="J19" s="41">
        <f>SUM(J9:J18)</f>
        <v>655414.16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-143272.26</v>
      </c>
      <c r="G22" s="18">
        <v>-18911.990000000002</v>
      </c>
      <c r="H22" s="18">
        <v>45979.68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26957.99</v>
      </c>
      <c r="G24" s="18">
        <v>11246.53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276032.87</v>
      </c>
      <c r="G25" s="145"/>
      <c r="H25" s="18">
        <v>7071.92</v>
      </c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>
        <v>9668.83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-10578.81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149139.78999999998</v>
      </c>
      <c r="G32" s="41">
        <f>SUM(G22:G31)</f>
        <v>-7665.4600000000009</v>
      </c>
      <c r="H32" s="41">
        <f>SUM(H22:H31)</f>
        <v>62720.43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1652.48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14190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10077.299999999999</v>
      </c>
      <c r="H47" s="18"/>
      <c r="I47" s="18"/>
      <c r="J47" s="13">
        <f>SUM(I458)</f>
        <v>655414.16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97823.47-14190</f>
        <v>83633.47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97823.47</v>
      </c>
      <c r="G50" s="41">
        <f>SUM(G35:G49)</f>
        <v>11729.779999999999</v>
      </c>
      <c r="H50" s="41">
        <f>SUM(H35:H49)</f>
        <v>0</v>
      </c>
      <c r="I50" s="41">
        <f>SUM(I35:I49)</f>
        <v>0</v>
      </c>
      <c r="J50" s="41">
        <f>SUM(J35:J49)</f>
        <v>655414.16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246963.25999999998</v>
      </c>
      <c r="G51" s="41">
        <f>G50+G32</f>
        <v>4064.3199999999979</v>
      </c>
      <c r="H51" s="41">
        <f>H50+H32</f>
        <v>62720.43</v>
      </c>
      <c r="I51" s="41">
        <f>I50+I32</f>
        <v>0</v>
      </c>
      <c r="J51" s="41">
        <f>J50+J32</f>
        <v>655414.16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6635066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6635066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1775.5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1775.5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420.5</v>
      </c>
      <c r="G95" s="18">
        <v>11.33</v>
      </c>
      <c r="H95" s="18"/>
      <c r="I95" s="18"/>
      <c r="J95" s="18">
        <v>1017.11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72311.83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5586.24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6006.74</v>
      </c>
      <c r="G110" s="41">
        <f>SUM(G95:G109)</f>
        <v>72323.16</v>
      </c>
      <c r="H110" s="41">
        <f>SUM(H95:H109)</f>
        <v>0</v>
      </c>
      <c r="I110" s="41">
        <f>SUM(I95:I109)</f>
        <v>0</v>
      </c>
      <c r="J110" s="41">
        <f>SUM(J95:J109)</f>
        <v>1017.11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6642848.2400000002</v>
      </c>
      <c r="G111" s="41">
        <f>G59+G110</f>
        <v>72323.16</v>
      </c>
      <c r="H111" s="41">
        <f>H59+H78+H93+H110</f>
        <v>0</v>
      </c>
      <c r="I111" s="41">
        <f>I59+I110</f>
        <v>0</v>
      </c>
      <c r="J111" s="41">
        <f>J59+J110</f>
        <v>1017.11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2772569.75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1194118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2402.25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3969090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194882.82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14466.04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23577.119999999999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209348.86000000002</v>
      </c>
      <c r="G135" s="41">
        <f>SUM(G122:G134)</f>
        <v>23577.119999999999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4178438.86</v>
      </c>
      <c r="G139" s="41">
        <f>G120+SUM(G135:G136)</f>
        <v>23577.119999999999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24162.720000000001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24162.720000000001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34585.410000000003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64544.17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62025.82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157151.82999999999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29785.79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61384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29785.79</v>
      </c>
      <c r="G161" s="41">
        <f>SUM(G149:G160)</f>
        <v>62025.82</v>
      </c>
      <c r="H161" s="41">
        <f>SUM(H149:H160)</f>
        <v>317665.40999999997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53948.51</v>
      </c>
      <c r="G168" s="41">
        <f>G146+G161+SUM(G162:G167)</f>
        <v>62025.82</v>
      </c>
      <c r="H168" s="41">
        <f>H146+H161+SUM(H162:H167)</f>
        <v>317665.40999999997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85000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85000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85000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10875235.609999999</v>
      </c>
      <c r="G192" s="47">
        <f>G111+G139+G168+G191</f>
        <v>157926.1</v>
      </c>
      <c r="H192" s="47">
        <f>H111+H139+H168+H191</f>
        <v>317665.40999999997</v>
      </c>
      <c r="I192" s="47">
        <f>I111+I139+I168+I191</f>
        <v>0</v>
      </c>
      <c r="J192" s="47">
        <f>J111+J139+J191</f>
        <v>86017.11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1698404.06</v>
      </c>
      <c r="G196" s="18">
        <v>758177.59</v>
      </c>
      <c r="H196" s="18">
        <v>28374.11</v>
      </c>
      <c r="I196" s="18">
        <v>112434.22</v>
      </c>
      <c r="J196" s="18">
        <v>13555.03</v>
      </c>
      <c r="K196" s="18">
        <v>990.83</v>
      </c>
      <c r="L196" s="19">
        <f>SUM(F196:K196)</f>
        <v>2611935.84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797055.49</v>
      </c>
      <c r="G197" s="18">
        <v>338173.62</v>
      </c>
      <c r="H197" s="18">
        <v>87662.74</v>
      </c>
      <c r="I197" s="18">
        <v>8682.52</v>
      </c>
      <c r="J197" s="18">
        <v>2233.58</v>
      </c>
      <c r="K197" s="18"/>
      <c r="L197" s="19">
        <f>SUM(F197:K197)</f>
        <v>1233807.95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22875</v>
      </c>
      <c r="G199" s="18">
        <v>3091.56</v>
      </c>
      <c r="H199" s="18">
        <v>14900</v>
      </c>
      <c r="I199" s="18">
        <v>10377.11</v>
      </c>
      <c r="J199" s="18">
        <v>1195.02</v>
      </c>
      <c r="K199" s="18">
        <v>1105</v>
      </c>
      <c r="L199" s="19">
        <f>SUM(F199:K199)</f>
        <v>53543.689999999995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375851.18</v>
      </c>
      <c r="G201" s="18">
        <v>180157.64</v>
      </c>
      <c r="H201" s="18">
        <v>22457.41</v>
      </c>
      <c r="I201" s="18">
        <v>4289.04</v>
      </c>
      <c r="J201" s="18"/>
      <c r="K201" s="18"/>
      <c r="L201" s="19">
        <f t="shared" ref="L201:L207" si="0">SUM(F201:K201)</f>
        <v>582755.27000000014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44948.98</v>
      </c>
      <c r="G202" s="18">
        <v>62554.66</v>
      </c>
      <c r="H202" s="18">
        <v>21997.53</v>
      </c>
      <c r="I202" s="18">
        <v>24034.55</v>
      </c>
      <c r="J202" s="18">
        <v>68001.3</v>
      </c>
      <c r="K202" s="18">
        <v>2693.82</v>
      </c>
      <c r="L202" s="19">
        <f t="shared" si="0"/>
        <v>224230.84000000003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163749.09</v>
      </c>
      <c r="G203" s="18">
        <v>44861.64</v>
      </c>
      <c r="H203" s="18">
        <v>41408.660000000003</v>
      </c>
      <c r="I203" s="18">
        <v>24469.15</v>
      </c>
      <c r="J203" s="18">
        <v>289.45999999999998</v>
      </c>
      <c r="K203" s="18">
        <v>7379.69</v>
      </c>
      <c r="L203" s="19">
        <f t="shared" si="0"/>
        <v>282157.69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338456.17</v>
      </c>
      <c r="G204" s="18">
        <v>165684.6</v>
      </c>
      <c r="H204" s="18">
        <v>23137.5</v>
      </c>
      <c r="I204" s="18">
        <v>6318.83</v>
      </c>
      <c r="J204" s="18">
        <v>1894</v>
      </c>
      <c r="K204" s="18">
        <v>6818.7</v>
      </c>
      <c r="L204" s="19">
        <f t="shared" si="0"/>
        <v>542309.79999999993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149428.10999999999</v>
      </c>
      <c r="G206" s="18">
        <v>69158.039999999994</v>
      </c>
      <c r="H206" s="18">
        <v>172232.85</v>
      </c>
      <c r="I206" s="18">
        <v>125160.18</v>
      </c>
      <c r="J206" s="18">
        <v>268</v>
      </c>
      <c r="K206" s="18"/>
      <c r="L206" s="19">
        <f t="shared" si="0"/>
        <v>516247.18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3449.07</v>
      </c>
      <c r="G207" s="18">
        <v>277.25</v>
      </c>
      <c r="H207" s="18">
        <v>314220.09000000003</v>
      </c>
      <c r="I207" s="18"/>
      <c r="J207" s="18"/>
      <c r="K207" s="18"/>
      <c r="L207" s="19">
        <f t="shared" si="0"/>
        <v>317946.41000000003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3594217.1499999994</v>
      </c>
      <c r="G210" s="41">
        <f t="shared" si="1"/>
        <v>1622136.6</v>
      </c>
      <c r="H210" s="41">
        <f t="shared" si="1"/>
        <v>726390.89000000013</v>
      </c>
      <c r="I210" s="41">
        <f t="shared" si="1"/>
        <v>315765.59999999998</v>
      </c>
      <c r="J210" s="41">
        <f t="shared" si="1"/>
        <v>87436.390000000014</v>
      </c>
      <c r="K210" s="41">
        <f t="shared" si="1"/>
        <v>18988.04</v>
      </c>
      <c r="L210" s="41">
        <f t="shared" si="1"/>
        <v>6364934.6699999999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3480254.33</v>
      </c>
      <c r="I232" s="18"/>
      <c r="J232" s="18"/>
      <c r="K232" s="18"/>
      <c r="L232" s="19">
        <f>SUM(F232:K232)</f>
        <v>3480254.33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33554.85</v>
      </c>
      <c r="G233" s="18">
        <v>11908.85</v>
      </c>
      <c r="H233" s="18">
        <v>108318.51</v>
      </c>
      <c r="I233" s="18"/>
      <c r="J233" s="18"/>
      <c r="K233" s="18"/>
      <c r="L233" s="19">
        <f>SUM(F233:K233)</f>
        <v>153782.21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>
        <v>6440.6</v>
      </c>
      <c r="I242" s="18"/>
      <c r="J242" s="18"/>
      <c r="K242" s="18"/>
      <c r="L242" s="19">
        <f t="shared" si="4"/>
        <v>6440.6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172725.3</v>
      </c>
      <c r="I243" s="18"/>
      <c r="J243" s="18"/>
      <c r="K243" s="18"/>
      <c r="L243" s="19">
        <f t="shared" si="4"/>
        <v>172725.3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33554.85</v>
      </c>
      <c r="G246" s="41">
        <f t="shared" si="5"/>
        <v>11908.85</v>
      </c>
      <c r="H246" s="41">
        <f t="shared" si="5"/>
        <v>3767738.7399999998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3813202.44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3627771.9999999995</v>
      </c>
      <c r="G256" s="41">
        <f t="shared" si="8"/>
        <v>1634045.4500000002</v>
      </c>
      <c r="H256" s="41">
        <f t="shared" si="8"/>
        <v>4494129.63</v>
      </c>
      <c r="I256" s="41">
        <f t="shared" si="8"/>
        <v>315765.59999999998</v>
      </c>
      <c r="J256" s="41">
        <f t="shared" si="8"/>
        <v>87436.390000000014</v>
      </c>
      <c r="K256" s="41">
        <f t="shared" si="8"/>
        <v>18988.04</v>
      </c>
      <c r="L256" s="41">
        <f t="shared" si="8"/>
        <v>10178137.109999999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480000</v>
      </c>
      <c r="L259" s="19">
        <f>SUM(F259:K259)</f>
        <v>480000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222334</v>
      </c>
      <c r="L260" s="19">
        <f>SUM(F260:K260)</f>
        <v>222334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85000</v>
      </c>
      <c r="L265" s="19">
        <f t="shared" si="9"/>
        <v>85000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787334</v>
      </c>
      <c r="L269" s="41">
        <f t="shared" si="9"/>
        <v>787334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3627771.9999999995</v>
      </c>
      <c r="G270" s="42">
        <f t="shared" si="11"/>
        <v>1634045.4500000002</v>
      </c>
      <c r="H270" s="42">
        <f t="shared" si="11"/>
        <v>4494129.63</v>
      </c>
      <c r="I270" s="42">
        <f t="shared" si="11"/>
        <v>315765.59999999998</v>
      </c>
      <c r="J270" s="42">
        <f t="shared" si="11"/>
        <v>87436.390000000014</v>
      </c>
      <c r="K270" s="42">
        <f t="shared" si="11"/>
        <v>806322.04</v>
      </c>
      <c r="L270" s="42">
        <f t="shared" si="11"/>
        <v>10965471.109999999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111234.87</v>
      </c>
      <c r="G275" s="18">
        <v>37861.49</v>
      </c>
      <c r="H275" s="18">
        <v>84.44</v>
      </c>
      <c r="I275" s="18">
        <v>14269.65</v>
      </c>
      <c r="J275" s="18">
        <v>2956.49</v>
      </c>
      <c r="K275" s="18"/>
      <c r="L275" s="19">
        <f>SUM(F275:K275)</f>
        <v>166406.93999999997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4569.6000000000004</v>
      </c>
      <c r="I276" s="18">
        <v>6133.56</v>
      </c>
      <c r="J276" s="18">
        <v>3938.95</v>
      </c>
      <c r="K276" s="18"/>
      <c r="L276" s="19">
        <f>SUM(F276:K276)</f>
        <v>14642.11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5200</v>
      </c>
      <c r="G278" s="18"/>
      <c r="H278" s="18"/>
      <c r="I278" s="18"/>
      <c r="J278" s="18">
        <v>5253.15</v>
      </c>
      <c r="K278" s="18"/>
      <c r="L278" s="19">
        <f>SUM(F278:K278)</f>
        <v>10453.15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73379.95</v>
      </c>
      <c r="G280" s="18">
        <v>22457.26</v>
      </c>
      <c r="H280" s="18"/>
      <c r="I280" s="18">
        <v>3466.25</v>
      </c>
      <c r="J280" s="18"/>
      <c r="K280" s="18"/>
      <c r="L280" s="19">
        <f t="shared" ref="L280:L286" si="12">SUM(F280:K280)</f>
        <v>99303.459999999992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10696</v>
      </c>
      <c r="I281" s="18">
        <v>9427.98</v>
      </c>
      <c r="J281" s="18">
        <v>6735.77</v>
      </c>
      <c r="K281" s="18"/>
      <c r="L281" s="19">
        <f t="shared" si="12"/>
        <v>26859.75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189814.82</v>
      </c>
      <c r="G289" s="42">
        <f t="shared" si="13"/>
        <v>60318.75</v>
      </c>
      <c r="H289" s="42">
        <f t="shared" si="13"/>
        <v>15350.04</v>
      </c>
      <c r="I289" s="42">
        <f t="shared" si="13"/>
        <v>33297.440000000002</v>
      </c>
      <c r="J289" s="42">
        <f t="shared" si="13"/>
        <v>18884.36</v>
      </c>
      <c r="K289" s="42">
        <f t="shared" si="13"/>
        <v>0</v>
      </c>
      <c r="L289" s="41">
        <f t="shared" si="13"/>
        <v>317665.40999999997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189814.82</v>
      </c>
      <c r="G337" s="41">
        <f t="shared" si="20"/>
        <v>60318.75</v>
      </c>
      <c r="H337" s="41">
        <f t="shared" si="20"/>
        <v>15350.04</v>
      </c>
      <c r="I337" s="41">
        <f t="shared" si="20"/>
        <v>33297.440000000002</v>
      </c>
      <c r="J337" s="41">
        <f t="shared" si="20"/>
        <v>18884.36</v>
      </c>
      <c r="K337" s="41">
        <f t="shared" si="20"/>
        <v>0</v>
      </c>
      <c r="L337" s="41">
        <f t="shared" si="20"/>
        <v>317665.40999999997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189814.82</v>
      </c>
      <c r="G351" s="41">
        <f>G337</f>
        <v>60318.75</v>
      </c>
      <c r="H351" s="41">
        <f>H337</f>
        <v>15350.04</v>
      </c>
      <c r="I351" s="41">
        <f>I337</f>
        <v>33297.440000000002</v>
      </c>
      <c r="J351" s="41">
        <f>J337</f>
        <v>18884.36</v>
      </c>
      <c r="K351" s="47">
        <f>K337+K350</f>
        <v>0</v>
      </c>
      <c r="L351" s="41">
        <f>L337+L350</f>
        <v>317665.40999999997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64831.13</v>
      </c>
      <c r="G357" s="18">
        <v>10635.93</v>
      </c>
      <c r="H357" s="18">
        <v>3178.99</v>
      </c>
      <c r="I357" s="18">
        <v>66983.23</v>
      </c>
      <c r="J357" s="18">
        <v>1493.04</v>
      </c>
      <c r="K357" s="18">
        <v>862</v>
      </c>
      <c r="L357" s="13">
        <f>SUM(F357:K357)</f>
        <v>147984.32000000001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64831.13</v>
      </c>
      <c r="G361" s="47">
        <f t="shared" si="22"/>
        <v>10635.93</v>
      </c>
      <c r="H361" s="47">
        <f t="shared" si="22"/>
        <v>3178.99</v>
      </c>
      <c r="I361" s="47">
        <f t="shared" si="22"/>
        <v>66983.23</v>
      </c>
      <c r="J361" s="47">
        <f t="shared" si="22"/>
        <v>1493.04</v>
      </c>
      <c r="K361" s="47">
        <f t="shared" si="22"/>
        <v>862</v>
      </c>
      <c r="L361" s="47">
        <f t="shared" si="22"/>
        <v>147984.32000000001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60352.55</v>
      </c>
      <c r="G366" s="18"/>
      <c r="H366" s="18"/>
      <c r="I366" s="56">
        <f>SUM(F366:H366)</f>
        <v>60352.55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6630.68</v>
      </c>
      <c r="G367" s="63"/>
      <c r="H367" s="63"/>
      <c r="I367" s="56">
        <f>SUM(F367:H367)</f>
        <v>6630.68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66983.23000000001</v>
      </c>
      <c r="G368" s="47">
        <f>SUM(G366:G367)</f>
        <v>0</v>
      </c>
      <c r="H368" s="47">
        <f>SUM(H366:H367)</f>
        <v>0</v>
      </c>
      <c r="I368" s="47">
        <f>SUM(I366:I367)</f>
        <v>66983.23000000001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224.72</v>
      </c>
      <c r="I387" s="18"/>
      <c r="J387" s="24" t="s">
        <v>289</v>
      </c>
      <c r="K387" s="24" t="s">
        <v>289</v>
      </c>
      <c r="L387" s="56">
        <f t="shared" si="25"/>
        <v>224.72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85000</v>
      </c>
      <c r="H388" s="18">
        <v>97.65</v>
      </c>
      <c r="I388" s="18"/>
      <c r="J388" s="24" t="s">
        <v>289</v>
      </c>
      <c r="K388" s="24" t="s">
        <v>289</v>
      </c>
      <c r="L388" s="56">
        <f t="shared" si="25"/>
        <v>85097.65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85000</v>
      </c>
      <c r="H392" s="139">
        <f>SUM(H386:H391)</f>
        <v>322.37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85322.37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652.83000000000004</v>
      </c>
      <c r="I396" s="18"/>
      <c r="J396" s="24" t="s">
        <v>289</v>
      </c>
      <c r="K396" s="24" t="s">
        <v>289</v>
      </c>
      <c r="L396" s="56">
        <f t="shared" si="26"/>
        <v>652.83000000000004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41.91</v>
      </c>
      <c r="I399" s="18"/>
      <c r="J399" s="24" t="s">
        <v>289</v>
      </c>
      <c r="K399" s="24" t="s">
        <v>289</v>
      </c>
      <c r="L399" s="56">
        <f t="shared" si="26"/>
        <v>41.91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694.74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694.74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85000</v>
      </c>
      <c r="H407" s="47">
        <f>H392+H400+H406</f>
        <v>1017.11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86017.11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32642.28</v>
      </c>
      <c r="I414" s="18"/>
      <c r="J414" s="18"/>
      <c r="K414" s="18"/>
      <c r="L414" s="56">
        <f t="shared" si="27"/>
        <v>32642.28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32642.28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32642.28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32642.28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32642.28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655414.16</v>
      </c>
      <c r="G438" s="18"/>
      <c r="H438" s="18"/>
      <c r="I438" s="56">
        <f t="shared" ref="I438:I444" si="33">SUM(F438:H438)</f>
        <v>655414.16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655414.16</v>
      </c>
      <c r="G445" s="13">
        <f>SUM(G438:G444)</f>
        <v>0</v>
      </c>
      <c r="H445" s="13">
        <f>SUM(H438:H444)</f>
        <v>0</v>
      </c>
      <c r="I445" s="13">
        <f>SUM(I438:I444)</f>
        <v>655414.16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655414.16</v>
      </c>
      <c r="G458" s="18"/>
      <c r="H458" s="18"/>
      <c r="I458" s="56">
        <f t="shared" si="34"/>
        <v>655414.16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655414.16</v>
      </c>
      <c r="G459" s="83">
        <f>SUM(G453:G458)</f>
        <v>0</v>
      </c>
      <c r="H459" s="83">
        <f>SUM(H453:H458)</f>
        <v>0</v>
      </c>
      <c r="I459" s="83">
        <f>SUM(I453:I458)</f>
        <v>655414.16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655414.16</v>
      </c>
      <c r="G460" s="42">
        <f>G451+G459</f>
        <v>0</v>
      </c>
      <c r="H460" s="42">
        <f>H451+H459</f>
        <v>0</v>
      </c>
      <c r="I460" s="42">
        <f>I451+I459</f>
        <v>655414.16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188058.97</v>
      </c>
      <c r="G464" s="18">
        <v>1788</v>
      </c>
      <c r="H464" s="18"/>
      <c r="I464" s="18"/>
      <c r="J464" s="18">
        <v>602039.32999999996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10875235.609999999</v>
      </c>
      <c r="G467" s="18">
        <v>157926.1</v>
      </c>
      <c r="H467" s="18">
        <v>317665.40999999997</v>
      </c>
      <c r="I467" s="18"/>
      <c r="J467" s="18">
        <v>86017.11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10875235.609999999</v>
      </c>
      <c r="G469" s="53">
        <f>SUM(G467:G468)</f>
        <v>157926.1</v>
      </c>
      <c r="H469" s="53">
        <f>SUM(H467:H468)</f>
        <v>317665.40999999997</v>
      </c>
      <c r="I469" s="53">
        <f>SUM(I467:I468)</f>
        <v>0</v>
      </c>
      <c r="J469" s="53">
        <f>SUM(J467:J468)</f>
        <v>86017.11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10965471.109999999</v>
      </c>
      <c r="G471" s="18">
        <v>147984.32000000001</v>
      </c>
      <c r="H471" s="18">
        <v>317665.40999999997</v>
      </c>
      <c r="I471" s="18"/>
      <c r="J471" s="18">
        <v>32642.28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10965471.109999999</v>
      </c>
      <c r="G473" s="53">
        <f>SUM(G471:G472)</f>
        <v>147984.32000000001</v>
      </c>
      <c r="H473" s="53">
        <f>SUM(H471:H472)</f>
        <v>317665.40999999997</v>
      </c>
      <c r="I473" s="53">
        <f>SUM(I471:I472)</f>
        <v>0</v>
      </c>
      <c r="J473" s="53">
        <f>SUM(J471:J472)</f>
        <v>32642.28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97823.470000000671</v>
      </c>
      <c r="G475" s="53">
        <f>(G464+G469)- G473</f>
        <v>11729.779999999999</v>
      </c>
      <c r="H475" s="53">
        <f>(H464+H469)- H473</f>
        <v>0</v>
      </c>
      <c r="I475" s="53">
        <f>(I464+I469)- I473</f>
        <v>0</v>
      </c>
      <c r="J475" s="53">
        <f>(J464+J469)- J473</f>
        <v>655414.15999999992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 t="s">
        <v>911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271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272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272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9633125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5280000</v>
      </c>
      <c r="G494" s="18"/>
      <c r="H494" s="18"/>
      <c r="I494" s="18"/>
      <c r="J494" s="18"/>
      <c r="K494" s="53">
        <f>SUM(F494:J494)</f>
        <v>5280000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480000</v>
      </c>
      <c r="G496" s="18"/>
      <c r="H496" s="18"/>
      <c r="I496" s="18"/>
      <c r="J496" s="18"/>
      <c r="K496" s="53">
        <f t="shared" si="35"/>
        <v>480000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4800000</v>
      </c>
      <c r="G497" s="205"/>
      <c r="H497" s="205"/>
      <c r="I497" s="205"/>
      <c r="J497" s="205"/>
      <c r="K497" s="206">
        <f t="shared" si="35"/>
        <v>4800000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1322793</v>
      </c>
      <c r="G498" s="18"/>
      <c r="H498" s="18"/>
      <c r="I498" s="18"/>
      <c r="J498" s="18"/>
      <c r="K498" s="53">
        <f t="shared" si="35"/>
        <v>1322793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6122793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6122793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480000</v>
      </c>
      <c r="G500" s="205"/>
      <c r="H500" s="205"/>
      <c r="I500" s="205"/>
      <c r="J500" s="205"/>
      <c r="K500" s="206">
        <f t="shared" si="35"/>
        <v>480000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204114</v>
      </c>
      <c r="G501" s="18"/>
      <c r="H501" s="18"/>
      <c r="I501" s="18"/>
      <c r="J501" s="18"/>
      <c r="K501" s="53">
        <f t="shared" si="35"/>
        <v>204114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684114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684114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797055.49</v>
      </c>
      <c r="G520" s="18">
        <v>338173.62</v>
      </c>
      <c r="H520" s="18">
        <v>92232.34</v>
      </c>
      <c r="I520" s="18">
        <v>14816.08</v>
      </c>
      <c r="J520" s="18">
        <v>6172.53</v>
      </c>
      <c r="K520" s="18"/>
      <c r="L520" s="88">
        <f>SUM(F520:K520)</f>
        <v>1248450.06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33554.85</v>
      </c>
      <c r="G522" s="18">
        <v>11908.85</v>
      </c>
      <c r="H522" s="18">
        <v>108318.51</v>
      </c>
      <c r="I522" s="18"/>
      <c r="J522" s="18"/>
      <c r="K522" s="18"/>
      <c r="L522" s="88">
        <f>SUM(F522:K522)</f>
        <v>153782.21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830610.34</v>
      </c>
      <c r="G523" s="108">
        <f t="shared" ref="G523:L523" si="36">SUM(G520:G522)</f>
        <v>350082.47</v>
      </c>
      <c r="H523" s="108">
        <f t="shared" si="36"/>
        <v>200550.84999999998</v>
      </c>
      <c r="I523" s="108">
        <f t="shared" si="36"/>
        <v>14816.08</v>
      </c>
      <c r="J523" s="108">
        <f t="shared" si="36"/>
        <v>6172.53</v>
      </c>
      <c r="K523" s="108">
        <f t="shared" si="36"/>
        <v>0</v>
      </c>
      <c r="L523" s="89">
        <f t="shared" si="36"/>
        <v>1402232.27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309488</v>
      </c>
      <c r="G525" s="18">
        <v>109272.49</v>
      </c>
      <c r="H525" s="18">
        <v>19822.41</v>
      </c>
      <c r="I525" s="18">
        <v>111632.65</v>
      </c>
      <c r="J525" s="18">
        <v>6735.77</v>
      </c>
      <c r="K525" s="18"/>
      <c r="L525" s="88">
        <f>SUM(F525:K525)</f>
        <v>556951.31999999995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309488</v>
      </c>
      <c r="G528" s="89">
        <f t="shared" ref="G528:L528" si="37">SUM(G525:G527)</f>
        <v>109272.49</v>
      </c>
      <c r="H528" s="89">
        <f t="shared" si="37"/>
        <v>19822.41</v>
      </c>
      <c r="I528" s="89">
        <f t="shared" si="37"/>
        <v>111632.65</v>
      </c>
      <c r="J528" s="89">
        <f t="shared" si="37"/>
        <v>6735.77</v>
      </c>
      <c r="K528" s="89">
        <f t="shared" si="37"/>
        <v>0</v>
      </c>
      <c r="L528" s="89">
        <f t="shared" si="37"/>
        <v>556951.31999999995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62561</v>
      </c>
      <c r="G530" s="18">
        <v>37170</v>
      </c>
      <c r="H530" s="18"/>
      <c r="I530" s="18"/>
      <c r="J530" s="18"/>
      <c r="K530" s="18"/>
      <c r="L530" s="88">
        <f>SUM(F530:K530)</f>
        <v>99731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62561</v>
      </c>
      <c r="G533" s="89">
        <f t="shared" ref="G533:L533" si="38">SUM(G530:G532)</f>
        <v>37170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99731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3449.07</v>
      </c>
      <c r="G540" s="18">
        <v>277.25</v>
      </c>
      <c r="H540" s="18">
        <v>45910.42</v>
      </c>
      <c r="I540" s="18"/>
      <c r="J540" s="18"/>
      <c r="K540" s="18"/>
      <c r="L540" s="88">
        <f>SUM(F540:K540)</f>
        <v>49636.74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43654.5</v>
      </c>
      <c r="I542" s="18"/>
      <c r="J542" s="18"/>
      <c r="K542" s="18"/>
      <c r="L542" s="88">
        <f>SUM(F542:K542)</f>
        <v>43654.5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3449.07</v>
      </c>
      <c r="G543" s="194">
        <f t="shared" ref="G543:L543" si="40">SUM(G540:G542)</f>
        <v>277.25</v>
      </c>
      <c r="H543" s="194">
        <f t="shared" si="40"/>
        <v>89564.92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93291.239999999991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1206108.4099999999</v>
      </c>
      <c r="G544" s="89">
        <f t="shared" ref="G544:L544" si="41">G523+G528+G533+G538+G543</f>
        <v>496802.20999999996</v>
      </c>
      <c r="H544" s="89">
        <f t="shared" si="41"/>
        <v>309938.18</v>
      </c>
      <c r="I544" s="89">
        <f t="shared" si="41"/>
        <v>126448.73</v>
      </c>
      <c r="J544" s="89">
        <f t="shared" si="41"/>
        <v>12908.3</v>
      </c>
      <c r="K544" s="89">
        <f t="shared" si="41"/>
        <v>0</v>
      </c>
      <c r="L544" s="89">
        <f t="shared" si="41"/>
        <v>2152205.83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1248450.06</v>
      </c>
      <c r="G548" s="87">
        <f>L525</f>
        <v>556951.31999999995</v>
      </c>
      <c r="H548" s="87">
        <f>L530</f>
        <v>99731</v>
      </c>
      <c r="I548" s="87">
        <f>L535</f>
        <v>0</v>
      </c>
      <c r="J548" s="87">
        <f>L540</f>
        <v>49636.74</v>
      </c>
      <c r="K548" s="87">
        <f>SUM(F548:J548)</f>
        <v>1954769.1199999999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153782.21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43654.5</v>
      </c>
      <c r="K550" s="87">
        <f>SUM(F550:J550)</f>
        <v>197436.71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1402232.27</v>
      </c>
      <c r="G551" s="89">
        <f t="shared" si="42"/>
        <v>556951.31999999995</v>
      </c>
      <c r="H551" s="89">
        <f t="shared" si="42"/>
        <v>99731</v>
      </c>
      <c r="I551" s="89">
        <f t="shared" si="42"/>
        <v>0</v>
      </c>
      <c r="J551" s="89">
        <f t="shared" si="42"/>
        <v>93291.239999999991</v>
      </c>
      <c r="K551" s="89">
        <f t="shared" si="42"/>
        <v>2152205.83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>
        <v>51.5</v>
      </c>
      <c r="H561" s="18"/>
      <c r="I561" s="18">
        <v>181.99</v>
      </c>
      <c r="J561" s="18"/>
      <c r="K561" s="18"/>
      <c r="L561" s="88">
        <f>SUM(F561:K561)</f>
        <v>233.49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51.5</v>
      </c>
      <c r="H564" s="89">
        <f t="shared" si="44"/>
        <v>0</v>
      </c>
      <c r="I564" s="89">
        <f t="shared" si="44"/>
        <v>181.99</v>
      </c>
      <c r="J564" s="89">
        <f t="shared" si="44"/>
        <v>0</v>
      </c>
      <c r="K564" s="89">
        <f t="shared" si="44"/>
        <v>0</v>
      </c>
      <c r="L564" s="89">
        <f t="shared" si="44"/>
        <v>233.49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3450</v>
      </c>
      <c r="G566" s="18">
        <v>719.12</v>
      </c>
      <c r="H566" s="18"/>
      <c r="I566" s="18">
        <v>350.02</v>
      </c>
      <c r="J566" s="18"/>
      <c r="K566" s="18"/>
      <c r="L566" s="88">
        <f>SUM(F566:K566)</f>
        <v>4519.1399999999994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3450</v>
      </c>
      <c r="G569" s="194">
        <f t="shared" ref="G569:L569" si="45">SUM(G566:G568)</f>
        <v>719.12</v>
      </c>
      <c r="H569" s="194">
        <f t="shared" si="45"/>
        <v>0</v>
      </c>
      <c r="I569" s="194">
        <f t="shared" si="45"/>
        <v>350.02</v>
      </c>
      <c r="J569" s="194">
        <f t="shared" si="45"/>
        <v>0</v>
      </c>
      <c r="K569" s="194">
        <f t="shared" si="45"/>
        <v>0</v>
      </c>
      <c r="L569" s="194">
        <f t="shared" si="45"/>
        <v>4519.1399999999994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3450</v>
      </c>
      <c r="G570" s="89">
        <f t="shared" ref="G570:L570" si="46">G559+G564+G569</f>
        <v>770.62</v>
      </c>
      <c r="H570" s="89">
        <f t="shared" si="46"/>
        <v>0</v>
      </c>
      <c r="I570" s="89">
        <f t="shared" si="46"/>
        <v>532.01</v>
      </c>
      <c r="J570" s="89">
        <f t="shared" si="46"/>
        <v>0</v>
      </c>
      <c r="K570" s="89">
        <f t="shared" si="46"/>
        <v>0</v>
      </c>
      <c r="L570" s="89">
        <f t="shared" si="46"/>
        <v>4752.6299999999992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3480254.33</v>
      </c>
      <c r="I576" s="87">
        <f t="shared" si="47"/>
        <v>3480254.33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6442.31</v>
      </c>
      <c r="G577" s="18"/>
      <c r="H577" s="18"/>
      <c r="I577" s="87">
        <f t="shared" si="47"/>
        <v>6442.31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6699.6</v>
      </c>
      <c r="G578" s="18"/>
      <c r="H578" s="18"/>
      <c r="I578" s="87">
        <f t="shared" si="47"/>
        <v>6699.6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95763.31</v>
      </c>
      <c r="I580" s="87">
        <f t="shared" si="47"/>
        <v>95763.31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36549.08</v>
      </c>
      <c r="G581" s="18"/>
      <c r="H581" s="18"/>
      <c r="I581" s="87">
        <f t="shared" si="47"/>
        <v>36549.08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256854.6</v>
      </c>
      <c r="I590" s="18"/>
      <c r="J590" s="18">
        <v>129070.8</v>
      </c>
      <c r="K590" s="104">
        <f t="shared" ref="K590:K596" si="48">SUM(H590:J590)</f>
        <v>385925.4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45910.42</v>
      </c>
      <c r="I591" s="18"/>
      <c r="J591" s="18">
        <v>43654.5</v>
      </c>
      <c r="K591" s="104">
        <f t="shared" si="48"/>
        <v>89564.92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6985.07</v>
      </c>
      <c r="I593" s="18"/>
      <c r="J593" s="18"/>
      <c r="K593" s="104">
        <f t="shared" si="48"/>
        <v>6985.07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4470</v>
      </c>
      <c r="I594" s="18"/>
      <c r="J594" s="18"/>
      <c r="K594" s="104">
        <f t="shared" si="48"/>
        <v>4470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3726.32</v>
      </c>
      <c r="I596" s="18"/>
      <c r="J596" s="18"/>
      <c r="K596" s="104">
        <f t="shared" si="48"/>
        <v>3726.32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317946.41000000003</v>
      </c>
      <c r="I597" s="108">
        <f>SUM(I590:I596)</f>
        <v>0</v>
      </c>
      <c r="J597" s="108">
        <f>SUM(J590:J596)</f>
        <v>172725.3</v>
      </c>
      <c r="K597" s="108">
        <f>SUM(K590:K596)</f>
        <v>490671.71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106320.75</v>
      </c>
      <c r="I603" s="18"/>
      <c r="J603" s="18"/>
      <c r="K603" s="104">
        <f>SUM(H603:J603)</f>
        <v>106320.75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106320.75</v>
      </c>
      <c r="I604" s="108">
        <f>SUM(I601:I603)</f>
        <v>0</v>
      </c>
      <c r="J604" s="108">
        <f>SUM(J601:J603)</f>
        <v>0</v>
      </c>
      <c r="K604" s="108">
        <f>SUM(K601:K603)</f>
        <v>106320.75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31545.35</v>
      </c>
      <c r="G610" s="18">
        <v>899.16</v>
      </c>
      <c r="H610" s="18"/>
      <c r="I610" s="18"/>
      <c r="J610" s="18"/>
      <c r="K610" s="18"/>
      <c r="L610" s="88">
        <f>SUM(F610:K610)</f>
        <v>32444.51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31545.35</v>
      </c>
      <c r="G613" s="108">
        <f t="shared" si="49"/>
        <v>899.16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32444.51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246963.25999999998</v>
      </c>
      <c r="H616" s="109">
        <f>SUM(F51)</f>
        <v>246963.25999999998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4064.32</v>
      </c>
      <c r="H617" s="109">
        <f>SUM(G51)</f>
        <v>4064.3199999999979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62720.43</v>
      </c>
      <c r="H618" s="109">
        <f>SUM(H51)</f>
        <v>62720.43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655414.16</v>
      </c>
      <c r="H620" s="109">
        <f>SUM(J51)</f>
        <v>655414.16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97823.47</v>
      </c>
      <c r="H621" s="109">
        <f>F475</f>
        <v>97823.470000000671</v>
      </c>
      <c r="I621" s="121" t="s">
        <v>101</v>
      </c>
      <c r="J621" s="109">
        <f t="shared" ref="J621:J654" si="50">G621-H621</f>
        <v>-6.6938810050487518E-10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11729.779999999999</v>
      </c>
      <c r="H622" s="109">
        <f>G475</f>
        <v>11729.779999999999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655414.16</v>
      </c>
      <c r="H625" s="109">
        <f>J475</f>
        <v>655414.15999999992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10875235.609999999</v>
      </c>
      <c r="H626" s="104">
        <f>SUM(F467)</f>
        <v>10875235.609999999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157926.1</v>
      </c>
      <c r="H627" s="104">
        <f>SUM(G467)</f>
        <v>157926.1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317665.40999999997</v>
      </c>
      <c r="H628" s="104">
        <f>SUM(H467)</f>
        <v>317665.40999999997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86017.11</v>
      </c>
      <c r="H630" s="104">
        <f>SUM(J467)</f>
        <v>86017.11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10965471.109999999</v>
      </c>
      <c r="H631" s="104">
        <f>SUM(F471)</f>
        <v>10965471.109999999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317665.40999999997</v>
      </c>
      <c r="H632" s="104">
        <f>SUM(H471)</f>
        <v>317665.40999999997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66983.23</v>
      </c>
      <c r="H633" s="104">
        <f>I368</f>
        <v>66983.23000000001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147984.32000000001</v>
      </c>
      <c r="H634" s="104">
        <f>SUM(G471)</f>
        <v>147984.32000000001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86017.11</v>
      </c>
      <c r="H636" s="164">
        <f>SUM(J467)</f>
        <v>86017.11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32642.28</v>
      </c>
      <c r="H637" s="164">
        <f>SUM(J471)</f>
        <v>32642.28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655414.16</v>
      </c>
      <c r="H638" s="104">
        <f>SUM(F460)</f>
        <v>655414.16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655414.16</v>
      </c>
      <c r="H641" s="104">
        <f>SUM(I460)</f>
        <v>655414.16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1017.11</v>
      </c>
      <c r="H643" s="104">
        <f>H407</f>
        <v>1017.11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85000</v>
      </c>
      <c r="H644" s="104">
        <f>G407</f>
        <v>85000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86017.11</v>
      </c>
      <c r="H645" s="104">
        <f>L407</f>
        <v>86017.11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490671.71</v>
      </c>
      <c r="H646" s="104">
        <f>L207+L225+L243</f>
        <v>490671.71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106320.75</v>
      </c>
      <c r="H647" s="104">
        <f>(J256+J337)-(J254+J335)</f>
        <v>106320.75000000001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317946.41000000003</v>
      </c>
      <c r="H648" s="104">
        <f>H597</f>
        <v>317946.41000000003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172725.3</v>
      </c>
      <c r="H650" s="104">
        <f>J597</f>
        <v>172725.3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85000</v>
      </c>
      <c r="H654" s="104">
        <f>K265+K346</f>
        <v>85000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6830584.4000000004</v>
      </c>
      <c r="G659" s="19">
        <f>(L228+L308+L358)</f>
        <v>0</v>
      </c>
      <c r="H659" s="19">
        <f>(L246+L327+L359)</f>
        <v>3813202.44</v>
      </c>
      <c r="I659" s="19">
        <f>SUM(F659:H659)</f>
        <v>10643786.84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72311.83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72311.83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317946.41000000003</v>
      </c>
      <c r="G661" s="19">
        <f>(L225+L305)-(J225+J305)</f>
        <v>0</v>
      </c>
      <c r="H661" s="19">
        <f>(L243+L324)-(J243+J324)</f>
        <v>172725.3</v>
      </c>
      <c r="I661" s="19">
        <f>SUM(F661:H661)</f>
        <v>490671.71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188456.25</v>
      </c>
      <c r="G662" s="200">
        <f>SUM(G574:G586)+SUM(I601:I603)+L611</f>
        <v>0</v>
      </c>
      <c r="H662" s="200">
        <f>SUM(H574:H586)+SUM(J601:J603)+L612</f>
        <v>3576017.64</v>
      </c>
      <c r="I662" s="19">
        <f>SUM(F662:H662)</f>
        <v>3764473.89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6251869.9100000001</v>
      </c>
      <c r="G663" s="19">
        <f>G659-SUM(G660:G662)</f>
        <v>0</v>
      </c>
      <c r="H663" s="19">
        <f>H659-SUM(H660:H662)</f>
        <v>64459.5</v>
      </c>
      <c r="I663" s="19">
        <f>I659-SUM(I660:I662)</f>
        <v>6316329.4100000001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467.89</v>
      </c>
      <c r="G664" s="249"/>
      <c r="H664" s="249"/>
      <c r="I664" s="19">
        <f>SUM(F664:H664)</f>
        <v>467.89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13361.84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13499.6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-64459.5</v>
      </c>
      <c r="I668" s="19">
        <f>SUM(F668:H668)</f>
        <v>-64459.5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13361.84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13361.84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Barnstead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1809638.9300000002</v>
      </c>
      <c r="C9" s="230">
        <f>'DOE25'!G196+'DOE25'!G214+'DOE25'!G232+'DOE25'!G275+'DOE25'!G294+'DOE25'!G313</f>
        <v>796039.08</v>
      </c>
    </row>
    <row r="10" spans="1:3" x14ac:dyDescent="0.2">
      <c r="A10" t="s">
        <v>779</v>
      </c>
      <c r="B10" s="241">
        <v>1720751.42</v>
      </c>
      <c r="C10" s="241">
        <v>766942</v>
      </c>
    </row>
    <row r="11" spans="1:3" x14ac:dyDescent="0.2">
      <c r="A11" t="s">
        <v>780</v>
      </c>
      <c r="B11" s="241">
        <v>37501.599999999999</v>
      </c>
      <c r="C11" s="241">
        <v>24097</v>
      </c>
    </row>
    <row r="12" spans="1:3" x14ac:dyDescent="0.2">
      <c r="A12" t="s">
        <v>781</v>
      </c>
      <c r="B12" s="241">
        <v>51385.91</v>
      </c>
      <c r="C12" s="241">
        <v>5000.08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1809638.93</v>
      </c>
      <c r="C13" s="232">
        <f>SUM(C10:C12)</f>
        <v>796039.08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830610.34</v>
      </c>
      <c r="C18" s="230">
        <f>'DOE25'!G197+'DOE25'!G215+'DOE25'!G233+'DOE25'!G276+'DOE25'!G295+'DOE25'!G314</f>
        <v>350082.47</v>
      </c>
    </row>
    <row r="19" spans="1:3" x14ac:dyDescent="0.2">
      <c r="A19" t="s">
        <v>779</v>
      </c>
      <c r="B19" s="241">
        <v>308201.03999999998</v>
      </c>
      <c r="C19" s="241">
        <v>129983</v>
      </c>
    </row>
    <row r="20" spans="1:3" x14ac:dyDescent="0.2">
      <c r="A20" t="s">
        <v>780</v>
      </c>
      <c r="B20" s="241">
        <v>487585.55</v>
      </c>
      <c r="C20" s="241">
        <v>217435.45</v>
      </c>
    </row>
    <row r="21" spans="1:3" x14ac:dyDescent="0.2">
      <c r="A21" t="s">
        <v>781</v>
      </c>
      <c r="B21" s="241">
        <v>34823.75</v>
      </c>
      <c r="C21" s="241">
        <v>2664.02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830610.34</v>
      </c>
      <c r="C22" s="232">
        <f>SUM(C19:C21)</f>
        <v>350082.47000000003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28075</v>
      </c>
      <c r="C36" s="236">
        <f>'DOE25'!G199+'DOE25'!G217+'DOE25'!G235+'DOE25'!G278+'DOE25'!G297+'DOE25'!G316</f>
        <v>3091.56</v>
      </c>
    </row>
    <row r="37" spans="1:3" x14ac:dyDescent="0.2">
      <c r="A37" t="s">
        <v>779</v>
      </c>
      <c r="B37" s="241">
        <v>21375</v>
      </c>
      <c r="C37" s="241">
        <v>1619.51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6700</v>
      </c>
      <c r="C39" s="241">
        <v>1472.05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28075</v>
      </c>
      <c r="C40" s="232">
        <f>SUM(C37:C39)</f>
        <v>3091.56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>Barnstead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7533324.0199999996</v>
      </c>
      <c r="D5" s="20">
        <f>SUM('DOE25'!L196:L199)+SUM('DOE25'!L214:L217)+SUM('DOE25'!L232:L235)-F5-G5</f>
        <v>7514244.5599999996</v>
      </c>
      <c r="E5" s="244"/>
      <c r="F5" s="256">
        <f>SUM('DOE25'!J196:J199)+SUM('DOE25'!J214:J217)+SUM('DOE25'!J232:J235)</f>
        <v>16983.63</v>
      </c>
      <c r="G5" s="53">
        <f>SUM('DOE25'!K196:K199)+SUM('DOE25'!K214:K217)+SUM('DOE25'!K232:K235)</f>
        <v>2095.83</v>
      </c>
      <c r="H5" s="260"/>
    </row>
    <row r="6" spans="1:9" x14ac:dyDescent="0.2">
      <c r="A6" s="32">
        <v>2100</v>
      </c>
      <c r="B6" t="s">
        <v>801</v>
      </c>
      <c r="C6" s="246">
        <f t="shared" si="0"/>
        <v>582755.27000000014</v>
      </c>
      <c r="D6" s="20">
        <f>'DOE25'!L201+'DOE25'!L219+'DOE25'!L237-F6-G6</f>
        <v>582755.27000000014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224230.84000000003</v>
      </c>
      <c r="D7" s="20">
        <f>'DOE25'!L202+'DOE25'!L220+'DOE25'!L238-F7-G7</f>
        <v>153535.72000000003</v>
      </c>
      <c r="E7" s="244"/>
      <c r="F7" s="256">
        <f>'DOE25'!J202+'DOE25'!J220+'DOE25'!J238</f>
        <v>68001.3</v>
      </c>
      <c r="G7" s="53">
        <f>'DOE25'!K202+'DOE25'!K220+'DOE25'!K238</f>
        <v>2693.82</v>
      </c>
      <c r="H7" s="260"/>
    </row>
    <row r="8" spans="1:9" x14ac:dyDescent="0.2">
      <c r="A8" s="32">
        <v>2300</v>
      </c>
      <c r="B8" t="s">
        <v>802</v>
      </c>
      <c r="C8" s="246">
        <f t="shared" si="0"/>
        <v>282157.69</v>
      </c>
      <c r="D8" s="244"/>
      <c r="E8" s="20">
        <f>'DOE25'!L203+'DOE25'!L221+'DOE25'!L239-F8-G8-D9-D11</f>
        <v>274488.53999999998</v>
      </c>
      <c r="F8" s="256">
        <f>'DOE25'!J203+'DOE25'!J221+'DOE25'!J239</f>
        <v>289.45999999999998</v>
      </c>
      <c r="G8" s="53">
        <f>'DOE25'!K203+'DOE25'!K221+'DOE25'!K239</f>
        <v>7379.69</v>
      </c>
      <c r="H8" s="260"/>
    </row>
    <row r="9" spans="1:9" x14ac:dyDescent="0.2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542309.79999999993</v>
      </c>
      <c r="D12" s="20">
        <f>'DOE25'!L204+'DOE25'!L222+'DOE25'!L240-F12-G12</f>
        <v>533597.1</v>
      </c>
      <c r="E12" s="244"/>
      <c r="F12" s="256">
        <f>'DOE25'!J204+'DOE25'!J222+'DOE25'!J240</f>
        <v>1894</v>
      </c>
      <c r="G12" s="53">
        <f>'DOE25'!K204+'DOE25'!K222+'DOE25'!K240</f>
        <v>6818.7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522687.77999999997</v>
      </c>
      <c r="D14" s="20">
        <f>'DOE25'!L206+'DOE25'!L224+'DOE25'!L242-F14-G14</f>
        <v>522419.77999999997</v>
      </c>
      <c r="E14" s="244"/>
      <c r="F14" s="256">
        <f>'DOE25'!J206+'DOE25'!J224+'DOE25'!J242</f>
        <v>268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490671.71</v>
      </c>
      <c r="D15" s="20">
        <f>'DOE25'!L207+'DOE25'!L225+'DOE25'!L243-F15-G15</f>
        <v>490671.71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702334</v>
      </c>
      <c r="D25" s="244"/>
      <c r="E25" s="244"/>
      <c r="F25" s="259"/>
      <c r="G25" s="257"/>
      <c r="H25" s="258">
        <f>'DOE25'!L259+'DOE25'!L260+'DOE25'!L340+'DOE25'!L341</f>
        <v>702334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87631.77</v>
      </c>
      <c r="D29" s="20">
        <f>'DOE25'!L357+'DOE25'!L358+'DOE25'!L359-'DOE25'!I366-F29-G29</f>
        <v>85276.73000000001</v>
      </c>
      <c r="E29" s="244"/>
      <c r="F29" s="256">
        <f>'DOE25'!J357+'DOE25'!J358+'DOE25'!J359</f>
        <v>1493.04</v>
      </c>
      <c r="G29" s="53">
        <f>'DOE25'!K357+'DOE25'!K358+'DOE25'!K359</f>
        <v>862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317665.40999999997</v>
      </c>
      <c r="D31" s="20">
        <f>'DOE25'!L289+'DOE25'!L308+'DOE25'!L327+'DOE25'!L332+'DOE25'!L333+'DOE25'!L334-F31-G31</f>
        <v>298781.05</v>
      </c>
      <c r="E31" s="244"/>
      <c r="F31" s="256">
        <f>'DOE25'!J289+'DOE25'!J308+'DOE25'!J327+'DOE25'!J332+'DOE25'!J333+'DOE25'!J334</f>
        <v>18884.36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10181281.920000002</v>
      </c>
      <c r="E33" s="247">
        <f>SUM(E5:E31)</f>
        <v>274488.53999999998</v>
      </c>
      <c r="F33" s="247">
        <f>SUM(F5:F31)</f>
        <v>107813.79000000001</v>
      </c>
      <c r="G33" s="247">
        <f>SUM(G5:G31)</f>
        <v>19850.04</v>
      </c>
      <c r="H33" s="247">
        <f>SUM(H5:H31)</f>
        <v>702334</v>
      </c>
    </row>
    <row r="35" spans="2:8" ht="12" thickBot="1" x14ac:dyDescent="0.25">
      <c r="B35" s="254" t="s">
        <v>847</v>
      </c>
      <c r="D35" s="255">
        <f>E33</f>
        <v>274488.53999999998</v>
      </c>
      <c r="E35" s="250"/>
    </row>
    <row r="36" spans="2:8" ht="12" thickTop="1" x14ac:dyDescent="0.2">
      <c r="B36" t="s">
        <v>815</v>
      </c>
      <c r="D36" s="20">
        <f>D33</f>
        <v>10181281.920000002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4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104922.75</v>
      </c>
      <c r="D8" s="95">
        <f>'DOE25'!G9</f>
        <v>2411.84</v>
      </c>
      <c r="E8" s="95">
        <f>'DOE25'!H9</f>
        <v>0</v>
      </c>
      <c r="F8" s="95">
        <f>'DOE25'!I9</f>
        <v>0</v>
      </c>
      <c r="G8" s="95">
        <f>'DOE25'!J9</f>
        <v>655414.16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37494.120000000003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89788.12</v>
      </c>
      <c r="D12" s="95">
        <f>'DOE25'!G13</f>
        <v>0</v>
      </c>
      <c r="E12" s="95">
        <f>'DOE25'!H13</f>
        <v>62720.43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14758.27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1652.48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246963.25999999998</v>
      </c>
      <c r="D18" s="41">
        <f>SUM(D8:D17)</f>
        <v>4064.32</v>
      </c>
      <c r="E18" s="41">
        <f>SUM(E8:E17)</f>
        <v>62720.43</v>
      </c>
      <c r="F18" s="41">
        <f>SUM(F8:F17)</f>
        <v>0</v>
      </c>
      <c r="G18" s="41">
        <f>SUM(G8:G17)</f>
        <v>655414.16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-143272.26</v>
      </c>
      <c r="D21" s="95">
        <f>'DOE25'!G22</f>
        <v>-18911.990000000002</v>
      </c>
      <c r="E21" s="95">
        <f>'DOE25'!H22</f>
        <v>45979.68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26957.99</v>
      </c>
      <c r="D23" s="95">
        <f>'DOE25'!G24</f>
        <v>11246.53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276032.87</v>
      </c>
      <c r="D24" s="95">
        <f>'DOE25'!G25</f>
        <v>0</v>
      </c>
      <c r="E24" s="95">
        <f>'DOE25'!H25</f>
        <v>7071.92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9668.83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-10578.81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149139.78999999998</v>
      </c>
      <c r="D31" s="41">
        <f>SUM(D21:D30)</f>
        <v>-7665.4600000000009</v>
      </c>
      <c r="E31" s="41">
        <f>SUM(E21:E30)</f>
        <v>62720.43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1652.48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14190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10077.299999999999</v>
      </c>
      <c r="E46" s="95">
        <f>'DOE25'!H47</f>
        <v>0</v>
      </c>
      <c r="F46" s="95">
        <f>'DOE25'!I47</f>
        <v>0</v>
      </c>
      <c r="G46" s="95">
        <f>'DOE25'!J47</f>
        <v>655414.16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83633.47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97823.47</v>
      </c>
      <c r="D49" s="41">
        <f>SUM(D34:D48)</f>
        <v>11729.779999999999</v>
      </c>
      <c r="E49" s="41">
        <f>SUM(E34:E48)</f>
        <v>0</v>
      </c>
      <c r="F49" s="41">
        <f>SUM(F34:F48)</f>
        <v>0</v>
      </c>
      <c r="G49" s="41">
        <f>SUM(G34:G48)</f>
        <v>655414.16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246963.25999999998</v>
      </c>
      <c r="D50" s="41">
        <f>D49+D31</f>
        <v>4064.3199999999979</v>
      </c>
      <c r="E50" s="41">
        <f>E49+E31</f>
        <v>62720.43</v>
      </c>
      <c r="F50" s="41">
        <f>F49+F31</f>
        <v>0</v>
      </c>
      <c r="G50" s="41">
        <f>G49+G31</f>
        <v>655414.16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6635066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1775.5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420.5</v>
      </c>
      <c r="D58" s="95">
        <f>'DOE25'!G95</f>
        <v>11.33</v>
      </c>
      <c r="E58" s="95">
        <f>'DOE25'!H95</f>
        <v>0</v>
      </c>
      <c r="F58" s="95">
        <f>'DOE25'!I95</f>
        <v>0</v>
      </c>
      <c r="G58" s="95">
        <f>'DOE25'!J95</f>
        <v>1017.11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72311.83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5586.24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7782.24</v>
      </c>
      <c r="D61" s="130">
        <f>SUM(D56:D60)</f>
        <v>72323.16</v>
      </c>
      <c r="E61" s="130">
        <f>SUM(E56:E60)</f>
        <v>0</v>
      </c>
      <c r="F61" s="130">
        <f>SUM(F56:F60)</f>
        <v>0</v>
      </c>
      <c r="G61" s="130">
        <f>SUM(G56:G60)</f>
        <v>1017.11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6642848.2400000002</v>
      </c>
      <c r="D62" s="22">
        <f>D55+D61</f>
        <v>72323.16</v>
      </c>
      <c r="E62" s="22">
        <f>E55+E61</f>
        <v>0</v>
      </c>
      <c r="F62" s="22">
        <f>F55+F61</f>
        <v>0</v>
      </c>
      <c r="G62" s="22">
        <f>G55+G61</f>
        <v>1017.11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2772569.75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1194118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2402.25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3969090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194882.82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14466.04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23577.119999999999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209348.86000000002</v>
      </c>
      <c r="D77" s="130">
        <f>SUM(D71:D76)</f>
        <v>23577.119999999999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4178438.86</v>
      </c>
      <c r="D80" s="130">
        <f>SUM(D78:D79)+D77+D69</f>
        <v>23577.119999999999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24162.720000000001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29785.79</v>
      </c>
      <c r="D87" s="95">
        <f>SUM('DOE25'!G152:G160)</f>
        <v>62025.82</v>
      </c>
      <c r="E87" s="95">
        <f>SUM('DOE25'!H152:H160)</f>
        <v>317665.40999999997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53948.51</v>
      </c>
      <c r="D90" s="131">
        <f>SUM(D84:D89)</f>
        <v>62025.82</v>
      </c>
      <c r="E90" s="131">
        <f>SUM(E84:E89)</f>
        <v>317665.40999999997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85000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85000</v>
      </c>
    </row>
    <row r="103" spans="1:7" ht="12.75" thickTop="1" thickBot="1" x14ac:dyDescent="0.25">
      <c r="A103" s="33" t="s">
        <v>765</v>
      </c>
      <c r="C103" s="86">
        <f>C62+C80+C90+C102</f>
        <v>10875235.609999999</v>
      </c>
      <c r="D103" s="86">
        <f>D62+D80+D90+D102</f>
        <v>157926.1</v>
      </c>
      <c r="E103" s="86">
        <f>E62+E80+E90+E102</f>
        <v>317665.40999999997</v>
      </c>
      <c r="F103" s="86">
        <f>F62+F80+F90+F102</f>
        <v>0</v>
      </c>
      <c r="G103" s="86">
        <f>G62+G80+G102</f>
        <v>86017.11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6092190.1699999999</v>
      </c>
      <c r="D108" s="24" t="s">
        <v>289</v>
      </c>
      <c r="E108" s="95">
        <f>('DOE25'!L275)+('DOE25'!L294)+('DOE25'!L313)</f>
        <v>166406.93999999997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1387590.16</v>
      </c>
      <c r="D109" s="24" t="s">
        <v>289</v>
      </c>
      <c r="E109" s="95">
        <f>('DOE25'!L276)+('DOE25'!L295)+('DOE25'!L314)</f>
        <v>14642.11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53543.689999999995</v>
      </c>
      <c r="D111" s="24" t="s">
        <v>289</v>
      </c>
      <c r="E111" s="95">
        <f>+('DOE25'!L278)+('DOE25'!L297)+('DOE25'!L316)</f>
        <v>10453.15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7533324.0200000005</v>
      </c>
      <c r="D114" s="86">
        <f>SUM(D108:D113)</f>
        <v>0</v>
      </c>
      <c r="E114" s="86">
        <f>SUM(E108:E113)</f>
        <v>191502.19999999998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582755.27000000014</v>
      </c>
      <c r="D117" s="24" t="s">
        <v>289</v>
      </c>
      <c r="E117" s="95">
        <f>+('DOE25'!L280)+('DOE25'!L299)+('DOE25'!L318)</f>
        <v>99303.459999999992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224230.84000000003</v>
      </c>
      <c r="D118" s="24" t="s">
        <v>289</v>
      </c>
      <c r="E118" s="95">
        <f>+('DOE25'!L281)+('DOE25'!L300)+('DOE25'!L319)</f>
        <v>26859.75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282157.69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542309.79999999993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522687.77999999997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490671.71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147984.32000000001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2644813.09</v>
      </c>
      <c r="D127" s="86">
        <f>SUM(D117:D126)</f>
        <v>147984.32000000001</v>
      </c>
      <c r="E127" s="86">
        <f>SUM(E117:E126)</f>
        <v>126163.20999999999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222334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85322.37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694.74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-1017.1100000000006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787334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10965471.109999999</v>
      </c>
      <c r="D144" s="86">
        <f>(D114+D127+D143)</f>
        <v>147984.32000000001</v>
      </c>
      <c r="E144" s="86">
        <f>(E114+E127+E143)</f>
        <v>317665.40999999997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09/02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9633125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5280000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5280000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480000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480000</v>
      </c>
    </row>
    <row r="158" spans="1:9" x14ac:dyDescent="0.2">
      <c r="A158" s="22" t="s">
        <v>35</v>
      </c>
      <c r="B158" s="137">
        <f>'DOE25'!F497</f>
        <v>4800000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4800000</v>
      </c>
    </row>
    <row r="159" spans="1:9" x14ac:dyDescent="0.2">
      <c r="A159" s="22" t="s">
        <v>36</v>
      </c>
      <c r="B159" s="137">
        <f>'DOE25'!F498</f>
        <v>1322793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1322793</v>
      </c>
    </row>
    <row r="160" spans="1:9" x14ac:dyDescent="0.2">
      <c r="A160" s="22" t="s">
        <v>37</v>
      </c>
      <c r="B160" s="137">
        <f>'DOE25'!F499</f>
        <v>6122793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6122793</v>
      </c>
    </row>
    <row r="161" spans="1:7" x14ac:dyDescent="0.2">
      <c r="A161" s="22" t="s">
        <v>38</v>
      </c>
      <c r="B161" s="137">
        <f>'DOE25'!F500</f>
        <v>480000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480000</v>
      </c>
    </row>
    <row r="162" spans="1:7" x14ac:dyDescent="0.2">
      <c r="A162" s="22" t="s">
        <v>39</v>
      </c>
      <c r="B162" s="137">
        <f>'DOE25'!F501</f>
        <v>204114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204114</v>
      </c>
    </row>
    <row r="163" spans="1:7" x14ac:dyDescent="0.2">
      <c r="A163" s="22" t="s">
        <v>246</v>
      </c>
      <c r="B163" s="137">
        <f>'DOE25'!F502</f>
        <v>684114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684114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Barnstead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13362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13362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6258597</v>
      </c>
      <c r="D10" s="182">
        <f>ROUND((C10/$C$28)*100,1)</f>
        <v>58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1402232</v>
      </c>
      <c r="D11" s="182">
        <f>ROUND((C11/$C$28)*100,1)</f>
        <v>13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63997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682059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251091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282158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542310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522688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490672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222334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75672.17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10793810.17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10793810.17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480000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6635066</v>
      </c>
      <c r="D35" s="182">
        <f t="shared" ref="D35:D40" si="1">ROUND((C35/$C$41)*100,1)</f>
        <v>58.8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8810.6800000006333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3969090</v>
      </c>
      <c r="D37" s="182">
        <f t="shared" si="1"/>
        <v>35.200000000000003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232926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433640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11279532.68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8" t="s">
        <v>767</v>
      </c>
      <c r="B2" s="299"/>
      <c r="C2" s="299"/>
      <c r="D2" s="299"/>
      <c r="E2" s="299"/>
      <c r="F2" s="292" t="str">
        <f>'DOE25'!A2</f>
        <v>Barnstead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2012-11-02T16:44:23Z</cp:lastPrinted>
  <dcterms:created xsi:type="dcterms:W3CDTF">1997-12-04T19:04:30Z</dcterms:created>
  <dcterms:modified xsi:type="dcterms:W3CDTF">2012-11-28T13:33:33Z</dcterms:modified>
</cp:coreProperties>
</file>