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F0A" lockStructure="1"/>
  <bookViews>
    <workbookView xWindow="0" yWindow="0" windowWidth="2560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49" i="1"/>
  <c r="F467" i="1"/>
  <c r="J467" i="1"/>
  <c r="G581" i="1"/>
  <c r="H520" i="1"/>
  <c r="H521" i="1"/>
  <c r="H358" i="1"/>
  <c r="H357" i="1"/>
  <c r="D11" i="13"/>
  <c r="C21" i="12"/>
  <c r="C20" i="12"/>
  <c r="C19" i="12"/>
  <c r="B21" i="12"/>
  <c r="B19" i="12"/>
  <c r="B20" i="12"/>
  <c r="C11" i="12"/>
  <c r="C10" i="12"/>
  <c r="C12" i="12"/>
  <c r="B12" i="12"/>
  <c r="B10" i="12"/>
  <c r="B11" i="12"/>
  <c r="G96" i="1"/>
  <c r="G467" i="1"/>
  <c r="H603" i="1"/>
  <c r="I603" i="1"/>
  <c r="J603" i="1"/>
  <c r="G611" i="1"/>
  <c r="G610" i="1"/>
  <c r="F611" i="1"/>
  <c r="F610" i="1"/>
  <c r="H591" i="1"/>
  <c r="H590" i="1"/>
  <c r="H578" i="1"/>
  <c r="G532" i="1"/>
  <c r="G531" i="1"/>
  <c r="G530" i="1"/>
  <c r="F532" i="1"/>
  <c r="F531" i="1"/>
  <c r="F530" i="1"/>
  <c r="H540" i="1"/>
  <c r="H537" i="1"/>
  <c r="H536" i="1"/>
  <c r="H535" i="1"/>
  <c r="I196" i="1"/>
  <c r="J196" i="1"/>
  <c r="H206" i="1"/>
  <c r="I241" i="1"/>
  <c r="I223" i="1"/>
  <c r="I205" i="1"/>
  <c r="I203" i="1"/>
  <c r="I214" i="1"/>
  <c r="H220" i="1"/>
  <c r="H224" i="1"/>
  <c r="I224" i="1"/>
  <c r="I206" i="1"/>
  <c r="F224" i="1"/>
  <c r="F206" i="1"/>
  <c r="H205" i="1"/>
  <c r="G205" i="1"/>
  <c r="F205" i="1"/>
  <c r="H223" i="1"/>
  <c r="G223" i="1"/>
  <c r="F223" i="1"/>
  <c r="H241" i="1"/>
  <c r="G241" i="1"/>
  <c r="F241" i="1"/>
  <c r="K222" i="1"/>
  <c r="J222" i="1"/>
  <c r="I222" i="1"/>
  <c r="H222" i="1"/>
  <c r="G222" i="1"/>
  <c r="F222" i="1"/>
  <c r="J204" i="1"/>
  <c r="I204" i="1"/>
  <c r="H204" i="1"/>
  <c r="G204" i="1"/>
  <c r="F204" i="1"/>
  <c r="K221" i="1"/>
  <c r="H221" i="1"/>
  <c r="G221" i="1"/>
  <c r="F221" i="1"/>
  <c r="K203" i="1"/>
  <c r="H203" i="1"/>
  <c r="G203" i="1"/>
  <c r="F203" i="1"/>
  <c r="G202" i="1"/>
  <c r="H202" i="1"/>
  <c r="J202" i="1"/>
  <c r="J220" i="1"/>
  <c r="G220" i="1"/>
  <c r="F220" i="1"/>
  <c r="F202" i="1"/>
  <c r="I220" i="1"/>
  <c r="I202" i="1"/>
  <c r="K219" i="1"/>
  <c r="K201" i="1"/>
  <c r="G201" i="1"/>
  <c r="H219" i="1"/>
  <c r="H201" i="1"/>
  <c r="G219" i="1"/>
  <c r="F219" i="1"/>
  <c r="F201" i="1"/>
  <c r="I219" i="1"/>
  <c r="I201" i="1"/>
  <c r="I215" i="1"/>
  <c r="F197" i="1"/>
  <c r="F520" i="1" s="1"/>
  <c r="J215" i="1"/>
  <c r="J197" i="1"/>
  <c r="H197" i="1"/>
  <c r="H215" i="1"/>
  <c r="G215" i="1"/>
  <c r="G197" i="1"/>
  <c r="F215" i="1"/>
  <c r="I197" i="1"/>
  <c r="H233" i="1"/>
  <c r="G214" i="1"/>
  <c r="G196" i="1"/>
  <c r="F214" i="1"/>
  <c r="F196" i="1"/>
  <c r="J214" i="1"/>
  <c r="H214" i="1"/>
  <c r="H196" i="1"/>
  <c r="F217" i="1"/>
  <c r="H217" i="1"/>
  <c r="G217" i="1"/>
  <c r="H225" i="1"/>
  <c r="H207" i="1"/>
  <c r="H243" i="1"/>
  <c r="J233" i="1"/>
  <c r="H232" i="1"/>
  <c r="F24" i="1"/>
  <c r="I275" i="1"/>
  <c r="K343" i="1"/>
  <c r="H275" i="1"/>
  <c r="G275" i="1"/>
  <c r="I276" i="1"/>
  <c r="H276" i="1"/>
  <c r="F276" i="1"/>
  <c r="G276" i="1"/>
  <c r="H281" i="1"/>
  <c r="F275" i="1"/>
  <c r="G131" i="1"/>
  <c r="G157" i="1"/>
  <c r="F367" i="1"/>
  <c r="I357" i="1"/>
  <c r="I358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G33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L308" i="1"/>
  <c r="G659" i="1" s="1"/>
  <c r="G663" i="1" s="1"/>
  <c r="G671" i="1" s="1"/>
  <c r="C5" i="10" s="1"/>
  <c r="L289" i="1"/>
  <c r="F659" i="1"/>
  <c r="F663" i="1" s="1"/>
  <c r="F671" i="1" s="1"/>
  <c r="C4" i="10" s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E90" i="2" s="1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D102" i="2" s="1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K433" i="1"/>
  <c r="G133" i="2" s="1"/>
  <c r="G143" i="2" s="1"/>
  <c r="G144" i="2" s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I187" i="1"/>
  <c r="I191" i="1" s="1"/>
  <c r="J182" i="1"/>
  <c r="J191" i="1" s="1"/>
  <c r="F187" i="1"/>
  <c r="G187" i="1"/>
  <c r="H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G426" i="1"/>
  <c r="G432" i="1"/>
  <c r="H418" i="1"/>
  <c r="H433" i="1" s="1"/>
  <c r="I418" i="1"/>
  <c r="I426" i="1"/>
  <c r="I432" i="1"/>
  <c r="I433" i="1"/>
  <c r="J418" i="1"/>
  <c r="L420" i="1"/>
  <c r="L421" i="1"/>
  <c r="L422" i="1"/>
  <c r="L423" i="1"/>
  <c r="L424" i="1"/>
  <c r="L425" i="1"/>
  <c r="F426" i="1"/>
  <c r="H426" i="1"/>
  <c r="J426" i="1"/>
  <c r="L428" i="1"/>
  <c r="L429" i="1"/>
  <c r="L430" i="1"/>
  <c r="L431" i="1"/>
  <c r="F432" i="1"/>
  <c r="H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8" i="1"/>
  <c r="F533" i="1"/>
  <c r="F538" i="1"/>
  <c r="F543" i="1"/>
  <c r="G523" i="1"/>
  <c r="H523" i="1"/>
  <c r="I523" i="1"/>
  <c r="J523" i="1"/>
  <c r="K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G538" i="1"/>
  <c r="H538" i="1"/>
  <c r="I538" i="1"/>
  <c r="J538" i="1"/>
  <c r="K538" i="1"/>
  <c r="L538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G564" i="1"/>
  <c r="G569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J652" i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 s="1"/>
  <c r="H663" i="1" s="1"/>
  <c r="H671" i="1" s="1"/>
  <c r="C6" i="10" s="1"/>
  <c r="L350" i="1"/>
  <c r="I661" i="1"/>
  <c r="A31" i="12"/>
  <c r="C69" i="2"/>
  <c r="A40" i="12"/>
  <c r="D12" i="13"/>
  <c r="C12" i="13" s="1"/>
  <c r="G8" i="2"/>
  <c r="G161" i="2"/>
  <c r="D61" i="2"/>
  <c r="D62" i="2" s="1"/>
  <c r="D103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/>
  <c r="D14" i="13"/>
  <c r="C14" i="13"/>
  <c r="E13" i="13"/>
  <c r="C13" i="13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/>
  <c r="J570" i="1"/>
  <c r="K570" i="1"/>
  <c r="L432" i="1"/>
  <c r="L418" i="1"/>
  <c r="D80" i="2"/>
  <c r="I659" i="1"/>
  <c r="I660" i="1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C23" i="10"/>
  <c r="F168" i="1"/>
  <c r="F192" i="1" s="1"/>
  <c r="G626" i="1" s="1"/>
  <c r="J626" i="1" s="1"/>
  <c r="J139" i="1"/>
  <c r="F570" i="1"/>
  <c r="H256" i="1"/>
  <c r="H270" i="1" s="1"/>
  <c r="G62" i="2"/>
  <c r="G103" i="2"/>
  <c r="G12" i="2"/>
  <c r="G18" i="2"/>
  <c r="J19" i="1"/>
  <c r="G620" i="1"/>
  <c r="I551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/>
  <c r="L400" i="1"/>
  <c r="C138" i="2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/>
  <c r="F337" i="1"/>
  <c r="F351" i="1"/>
  <c r="G191" i="1"/>
  <c r="G192" i="1"/>
  <c r="G627" i="1" s="1"/>
  <c r="J627" i="1" s="1"/>
  <c r="H191" i="1"/>
  <c r="E127" i="2"/>
  <c r="E144" i="2" s="1"/>
  <c r="C35" i="10"/>
  <c r="C36" i="10"/>
  <c r="D5" i="13"/>
  <c r="E16" i="13"/>
  <c r="C49" i="2"/>
  <c r="C50" i="2" s="1"/>
  <c r="J654" i="1"/>
  <c r="J644" i="1"/>
  <c r="J192" i="1"/>
  <c r="H666" i="1"/>
  <c r="L569" i="1"/>
  <c r="I570" i="1"/>
  <c r="I544" i="1"/>
  <c r="J635" i="1"/>
  <c r="G36" i="2"/>
  <c r="G49" i="2" s="1"/>
  <c r="G50" i="2" s="1"/>
  <c r="J50" i="1"/>
  <c r="C39" i="10"/>
  <c r="D39" i="10" s="1"/>
  <c r="H192" i="1"/>
  <c r="G628" i="1"/>
  <c r="J628" i="1" s="1"/>
  <c r="L564" i="1"/>
  <c r="L570" i="1" s="1"/>
  <c r="G544" i="1"/>
  <c r="H544" i="1"/>
  <c r="K550" i="1"/>
  <c r="F143" i="2"/>
  <c r="F144" i="2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D31" i="13"/>
  <c r="C31" i="13" s="1"/>
  <c r="L337" i="1"/>
  <c r="L351" i="1" s="1"/>
  <c r="G632" i="1" s="1"/>
  <c r="J632" i="1" s="1"/>
  <c r="C25" i="13"/>
  <c r="H33" i="13"/>
  <c r="F666" i="1"/>
  <c r="G630" i="1"/>
  <c r="J630" i="1"/>
  <c r="G645" i="1"/>
  <c r="G625" i="1"/>
  <c r="J51" i="1"/>
  <c r="H620" i="1"/>
  <c r="J620" i="1" s="1"/>
  <c r="C41" i="10"/>
  <c r="D35" i="10" s="1"/>
  <c r="G636" i="1"/>
  <c r="J636" i="1" s="1"/>
  <c r="H645" i="1"/>
  <c r="J645" i="1" s="1"/>
  <c r="D33" i="13"/>
  <c r="D36" i="13" s="1"/>
  <c r="D37" i="10"/>
  <c r="D36" i="10"/>
  <c r="D40" i="10"/>
  <c r="J625" i="1"/>
  <c r="G666" i="1"/>
  <c r="C27" i="10" l="1"/>
  <c r="G634" i="1"/>
  <c r="C28" i="10"/>
  <c r="D25" i="10" s="1"/>
  <c r="H655" i="1"/>
  <c r="J634" i="1"/>
  <c r="E103" i="2"/>
  <c r="F103" i="2"/>
  <c r="C30" i="10"/>
  <c r="D11" i="10"/>
  <c r="D19" i="10"/>
  <c r="D21" i="10"/>
  <c r="D24" i="10"/>
  <c r="D27" i="10"/>
  <c r="D18" i="10"/>
  <c r="D13" i="10"/>
  <c r="D20" i="10"/>
  <c r="D10" i="10"/>
  <c r="D16" i="10"/>
  <c r="D38" i="10"/>
  <c r="D41" i="10" s="1"/>
  <c r="J648" i="1"/>
  <c r="I662" i="1"/>
  <c r="I663" i="1" s="1"/>
  <c r="L520" i="1"/>
  <c r="F523" i="1"/>
  <c r="F544" i="1" s="1"/>
  <c r="D26" i="10" l="1"/>
  <c r="D22" i="10"/>
  <c r="D23" i="10"/>
  <c r="D12" i="10"/>
  <c r="D15" i="10"/>
  <c r="D17" i="10"/>
  <c r="I671" i="1"/>
  <c r="C7" i="10" s="1"/>
  <c r="I666" i="1"/>
  <c r="D28" i="10"/>
  <c r="F548" i="1"/>
  <c r="L523" i="1"/>
  <c r="L544" i="1" s="1"/>
  <c r="K548" i="1" l="1"/>
  <c r="K551" i="1" s="1"/>
  <c r="F551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<sst xmlns="http://schemas.openxmlformats.org/spreadsheetml/2006/main" count="3960" uniqueCount="912">
  <si>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</si>
  <si>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</si>
  <si>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</si>
  <si>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</si>
  <si>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</si>
  <si>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</si>
  <si>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</si>
  <si>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</si>
  <si>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</si>
  <si>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</si>
  <si>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</si>
  <si>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</si>
  <si>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</si>
  <si>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</si>
  <si>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</si>
  <si>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</si>
  <si>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</si>
  <si>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</si>
  <si>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</si>
  <si>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</si>
  <si>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</si>
  <si>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</si>
  <si>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</si>
  <si>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</si>
  <si>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</si>
  <si>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</si>
  <si>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</si>
  <si>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</si>
  <si>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</si>
  <si>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</si>
  <si>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</si>
  <si>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</si>
  <si>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</si>
  <si>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</si>
  <si>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</si>
  <si>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</si>
  <si>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</si>
  <si>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</si>
  <si>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</si>
  <si>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</si>
  <si>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</si>
  <si>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</si>
  <si>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</si>
  <si>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</si>
  <si>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</si>
  <si>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</si>
  <si>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</si>
  <si>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</si>
  <si>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</si>
  <si>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</si>
  <si>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</si>
  <si>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</si>
  <si>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</si>
  <si>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</si>
  <si>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</si>
  <si>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</si>
  <si>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</si>
  <si>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</si>
  <si>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</si>
  <si>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</si>
  <si>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</si>
  <si>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</si>
  <si>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</si>
  <si>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</si>
  <si>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</si>
  <si>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</si>
  <si>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</si>
  <si>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</si>
  <si>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</si>
  <si>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</si>
  <si>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</si>
  <si>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</si>
  <si>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</si>
  <si>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</si>
  <si>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</si>
  <si>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</si>
  <si>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</si>
  <si>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</si>
  <si>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</si>
  <si>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</si>
  <si>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</si>
  <si>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</si>
  <si>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</si>
  <si>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</si>
  <si>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</si>
  <si>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</si>
  <si>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</si>
  <si>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</si>
  <si>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</si>
  <si>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</si>
  <si>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</si>
  <si>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</si>
  <si>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</si>
  <si>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</si>
  <si>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</si>
  <si>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</si>
  <si>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</si>
  <si>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</si>
  <si>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</si>
  <si>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</si>
  <si>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</si>
  <si>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</si>
  <si>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</si>
  <si>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</si>
  <si>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</si>
  <si>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</si>
  <si>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</si>
  <si>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</si>
  <si>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</si>
  <si>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</si>
  <si>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</si>
  <si>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</si>
  <si>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</si>
  <si>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</si>
  <si>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</si>
  <si>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</si>
  <si>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</si>
  <si>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</si>
  <si>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</si>
  <si>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</si>
  <si>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</si>
  <si>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</si>
  <si>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</si>
  <si>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</si>
  <si>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</si>
  <si>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</si>
  <si>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</si>
  <si>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</si>
  <si>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</si>
  <si>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</si>
  <si>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</si>
  <si>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</si>
  <si>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</si>
  <si>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</si>
  <si>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</si>
  <si>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</si>
  <si>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</si>
  <si>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</si>
  <si>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</si>
  <si>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</si>
  <si>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</si>
  <si>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</si>
  <si>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</si>
  <si>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</si>
  <si>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</si>
  <si>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</si>
  <si>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</si>
  <si>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</si>
  <si>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</si>
  <si>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</si>
  <si>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</si>
  <si>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</si>
  <si>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</si>
  <si>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</si>
  <si>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</si>
  <si>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</si>
  <si>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</si>
  <si>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</si>
  <si>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</si>
  <si>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</si>
  <si>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</si>
  <si>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</si>
  <si>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</si>
  <si>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</si>
  <si>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</si>
  <si>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</si>
  <si>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</si>
  <si>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</si>
  <si>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</si>
  <si>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</si>
  <si>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</si>
  <si>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</si>
  <si>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</si>
  <si>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</si>
  <si>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</si>
  <si>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</si>
  <si>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</si>
  <si>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</si>
  <si>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</si>
  <si>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</si>
  <si>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</si>
  <si>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</si>
  <si>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</si>
  <si>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</si>
  <si>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</si>
  <si>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</si>
  <si>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</si>
  <si>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</si>
  <si>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</si>
  <si>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</si>
  <si>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</si>
  <si>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</si>
  <si>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</si>
  <si>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</si>
  <si>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</si>
  <si>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</si>
  <si>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</si>
  <si>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</si>
  <si>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</si>
  <si>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</si>
  <si>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</si>
  <si>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</si>
  <si>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</si>
  <si>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</si>
  <si>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</si>
  <si>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</si>
  <si>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</si>
  <si>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</si>
  <si>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</si>
  <si>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</si>
  <si>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</si>
  <si>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</si>
  <si>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</si>
  <si>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</si>
  <si>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</si>
  <si>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</si>
  <si>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</si>
  <si>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</si>
  <si>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</si>
  <si>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</si>
  <si>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</si>
  <si>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</si>
  <si>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</si>
  <si>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</si>
  <si>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</si>
  <si>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</si>
  <si>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</si>
  <si>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</si>
  <si>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</si>
  <si>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</si>
  <si>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</si>
  <si>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</si>
  <si>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</si>
  <si>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</si>
  <si>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</si>
  <si>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</si>
  <si>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</si>
  <si>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</si>
  <si>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</si>
  <si>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</si>
  <si>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</si>
  <si>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</si>
  <si>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</si>
  <si>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</si>
  <si>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</si>
  <si>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</si>
  <si>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</si>
  <si>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</si>
  <si>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</si>
  <si>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</si>
  <si>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</si>
  <si>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</si>
  <si>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</si>
  <si>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</si>
  <si>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</si>
  <si>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</si>
  <si>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</si>
  <si>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</si>
  <si>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</si>
  <si>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</si>
  <si>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</si>
  <si>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</si>
  <si>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</si>
  <si>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</si>
  <si>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</si>
  <si>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</si>
  <si>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</si>
  <si>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</si>
  <si>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</si>
  <si>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</si>
  <si>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</si>
  <si>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</si>
  <si>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</si>
  <si>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</si>
  <si>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</si>
  <si>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</si>
  <si>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</si>
  <si>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</si>
  <si>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</si>
  <si>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</si>
  <si>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</si>
  <si>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</si>
  <si>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</si>
  <si>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</si>
  <si>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</si>
  <si>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</si>
  <si>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</si>
  <si>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</si>
  <si>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</si>
  <si>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</si>
  <si>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</si>
  <si>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</si>
  <si>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</si>
  <si>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</si>
  <si>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</si>
  <si>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</si>
  <si>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</si>
  <si>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</si>
  <si>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</si>
  <si>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</si>
  <si>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</si>
  <si>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</si>
  <si>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</si>
  <si>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</si>
  <si>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</si>
  <si>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</si>
  <si>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</si>
  <si>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</si>
  <si>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</si>
  <si>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</si>
  <si>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</si>
  <si>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</si>
  <si>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</si>
  <si>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</si>
  <si>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</si>
  <si>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</si>
  <si>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</si>
  <si>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</si>
  <si>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</si>
  <si>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</si>
  <si>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</si>
  <si>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</si>
  <si>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</si>
  <si>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</si>
  <si>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</si>
  <si>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</si>
  <si>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</si>
  <si>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</si>
  <si>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</si>
  <si>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</si>
  <si>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</si>
  <si>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</si>
  <si>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</si>
  <si>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</si>
  <si>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</si>
  <si>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</si>
  <si>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</si>
  <si>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</si>
  <si>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</si>
  <si>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</si>
  <si>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</si>
  <si>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</si>
  <si>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</si>
  <si>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</si>
  <si>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</si>
  <si>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</si>
  <si>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</si>
  <si>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</si>
  <si>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</si>
  <si>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</si>
  <si>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</si>
  <si>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</si>
  <si>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</si>
  <si>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</si>
  <si>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</si>
  <si>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</si>
  <si>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</si>
  <si>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</si>
  <si>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</si>
  <si>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</si>
  <si>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</si>
  <si>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</si>
  <si>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</si>
  <si>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</si>
  <si>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</si>
  <si>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</si>
  <si>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</si>
  <si>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</si>
  <si>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</si>
  <si>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</si>
  <si>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</si>
  <si>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</si>
  <si>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</si>
  <si>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</si>
  <si>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</si>
  <si>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</si>
  <si>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</si>
  <si>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</si>
  <si>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</si>
  <si>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</si>
  <si>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</si>
  <si>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</si>
  <si>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</si>
  <si>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</si>
  <si>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</si>
  <si>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</si>
  <si>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</si>
  <si>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</si>
  <si>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</si>
  <si>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</si>
  <si>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</si>
  <si>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</si>
  <si>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</si>
  <si>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</si>
  <si>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</si>
  <si>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</si>
  <si>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</si>
  <si>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</si>
  <si>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</si>
  <si>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</si>
  <si>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</si>
  <si>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</si>
  <si>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</si>
  <si>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</si>
  <si>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</si>
  <si>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</si>
  <si>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</si>
  <si>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</si>
  <si>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</si>
  <si>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</si>
  <si>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</si>
  <si>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</si>
  <si>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</si>
  <si>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</si>
  <si>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</si>
  <si>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</si>
  <si>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</si>
  <si>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</si>
  <si>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</si>
  <si>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</si>
  <si>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</si>
  <si>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</si>
  <si>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</si>
  <si>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</si>
  <si>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</si>
  <si>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</si>
  <si>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</si>
  <si>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</si>
  <si>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</si>
  <si>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</si>
  <si>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</si>
  <si>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</si>
  <si>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</si>
  <si>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</si>
  <si>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</si>
  <si>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</si>
  <si>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</si>
  <si>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</si>
  <si>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</si>
  <si>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</si>
  <si>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</si>
  <si>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</si>
  <si>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</si>
  <si>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</si>
  <si>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</si>
  <si>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</si>
  <si>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</si>
  <si>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</si>
  <si>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</si>
  <si>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</si>
  <si>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</si>
  <si>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</si>
  <si>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</si>
  <si>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</si>
  <si>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</si>
  <si>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</si>
  <si>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</si>
  <si>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</si>
  <si>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</si>
  <si>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</si>
  <si>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</si>
  <si>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</si>
  <si>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</si>
  <si>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</si>
  <si>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</si>
  <si>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</si>
  <si>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</si>
  <si>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</si>
  <si>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</si>
  <si>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</si>
  <si>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</si>
  <si>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</si>
  <si>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</si>
  <si>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</si>
  <si>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</si>
  <si>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</si>
  <si>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</si>
  <si>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</si>
  <si>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</si>
  <si>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</si>
  <si>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</si>
  <si>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</si>
  <si>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</si>
  <si>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</si>
  <si>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</si>
  <si>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</si>
  <si>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</si>
  <si>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</si>
  <si>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</si>
  <si>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</si>
  <si>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</si>
  <si>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</si>
  <si>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</si>
  <si>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</si>
  <si>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</si>
  <si>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</si>
  <si>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</si>
  <si>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</si>
  <si>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</si>
  <si>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</si>
  <si>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</si>
  <si>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</si>
  <si>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</si>
  <si>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</si>
  <si>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</si>
  <si>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</si>
  <si>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</si>
  <si>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</si>
  <si>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</si>
  <si>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</si>
  <si>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</si>
  <si>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</si>
  <si>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</si>
  <si>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</si>
  <si>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</si>
  <si>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</si>
  <si>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</si>
  <si>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</si>
  <si>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</si>
  <si>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</si>
  <si>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</si>
  <si>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</si>
  <si>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</si>
  <si>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</si>
  <si>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</si>
  <si>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</si>
  <si>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</si>
  <si>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</si>
  <si>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</si>
  <si>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</si>
  <si>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</si>
  <si>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</si>
  <si>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</si>
  <si>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</si>
  <si>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</si>
  <si>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</si>
  <si>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</si>
  <si>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</si>
  <si>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</si>
  <si>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</si>
  <si>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</si>
  <si>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</si>
  <si>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</si>
  <si>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</si>
  <si>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</si>
  <si>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</si>
  <si>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</si>
  <si>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</si>
  <si>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</si>
  <si>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</si>
  <si>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</si>
  <si>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</si>
  <si>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</si>
  <si>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</si>
  <si>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</si>
  <si>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</si>
  <si>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</si>
  <si>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</si>
  <si>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</si>
  <si>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</si>
  <si>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</si>
  <si>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</si>
  <si>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</si>
  <si>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</si>
  <si>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</si>
  <si>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</si>
  <si>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</si>
  <si>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</si>
  <si>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</si>
  <si>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</si>
  <si>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</si>
  <si>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</si>
  <si>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</si>
  <si>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</si>
  <si>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</si>
  <si>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</si>
  <si>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</si>
  <si>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</si>
  <si>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</si>
  <si>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</si>
  <si>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</si>
  <si>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</si>
  <si>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</si>
  <si>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</si>
  <si>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</si>
  <si>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</si>
  <si>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</si>
  <si>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</si>
  <si>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</si>
  <si>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</si>
  <si>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</si>
  <si>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</si>
  <si>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</si>
  <si>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</si>
  <si>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</si>
  <si>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</si>
  <si>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</si>
  <si>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</si>
  <si>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</si>
  <si>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</si>
  <si>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</si>
  <si>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</si>
  <si>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</si>
  <si>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</si>
  <si>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</si>
  <si>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</si>
  <si>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</si>
  <si>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</si>
  <si>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</si>
  <si>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</si>
  <si>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</si>
  <si>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</si>
  <si>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</si>
  <si>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</si>
  <si>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</si>
  <si>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</si>
  <si>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</si>
  <si>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</si>
  <si>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</si>
  <si>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</si>
  <si>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</si>
  <si>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</si>
  <si>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</si>
  <si>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</si>
  <si>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</si>
  <si>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</si>
  <si>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</si>
  <si>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</si>
  <si>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</si>
  <si>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</si>
  <si>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</si>
  <si>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</si>
  <si>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</si>
  <si>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</si>
  <si>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</si>
  <si>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</si>
  <si>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</si>
  <si>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</si>
  <si>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</si>
  <si>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</si>
  <si>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</si>
  <si>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</si>
  <si>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</si>
  <si>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</si>
  <si>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</si>
  <si>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</si>
  <si>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</si>
  <si>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</si>
  <si>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</si>
  <si>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</si>
  <si>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</si>
  <si>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</si>
  <si>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</si>
  <si>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</si>
  <si>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</si>
  <si>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</si>
  <si>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</si>
  <si>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</si>
  <si>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</si>
  <si>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</si>
  <si>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</si>
  <si>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</si>
  <si>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</si>
  <si>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</si>
  <si>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</si>
  <si>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</si>
  <si>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</si>
  <si>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</si>
  <si>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</si>
  <si>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</si>
  <si>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</si>
  <si>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</si>
  <si>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</si>
  <si>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</si>
  <si>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</si>
  <si>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</si>
  <si>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</si>
  <si>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</si>
  <si>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</si>
  <si>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</si>
  <si>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</si>
  <si>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</si>
  <si>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</si>
  <si>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</si>
  <si>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</si>
  <si>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</si>
  <si>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</si>
  <si>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</si>
  <si>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</si>
  <si>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</si>
  <si>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</si>
  <si>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</si>
  <si>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</si>
  <si>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</si>
  <si>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</si>
  <si>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</si>
  <si>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</si>
  <si>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</si>
  <si>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</si>
  <si>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</si>
  <si>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</si>
  <si>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</si>
  <si>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</si>
  <si>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</si>
  <si>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</si>
  <si>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</si>
  <si>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</si>
  <si>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</si>
  <si>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</si>
  <si>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</si>
  <si>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</si>
  <si>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</si>
  <si>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</si>
  <si>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</si>
  <si>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</si>
  <si>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</si>
  <si>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</si>
  <si>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</si>
  <si>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</si>
  <si>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</si>
  <si>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</si>
  <si>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</si>
  <si>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</si>
  <si>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</si>
  <si>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</si>
  <si>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</si>
  <si>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</si>
  <si>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</si>
  <si>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</si>
  <si>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</si>
  <si>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</si>
  <si>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</si>
  <si>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</si>
  <si>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</si>
  <si>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</si>
  <si>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</si>
  <si>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</si>
  <si>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</si>
  <si>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</si>
  <si>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</si>
  <si>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</si>
  <si>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</si>
  <si>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</si>
  <si>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</si>
  <si>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</si>
  <si>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</si>
  <si>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</si>
  <si>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</si>
  <si>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</si>
  <si>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</si>
  <si>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</si>
  <si>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</si>
  <si>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</si>
  <si>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</si>
  <si>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</si>
  <si>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</si>
  <si>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</si>
  <si>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</si>
  <si>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</si>
  <si>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</si>
  <si>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</si>
  <si>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</si>
  <si>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</si>
  <si>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</si>
  <si>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</si>
  <si>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</si>
  <si>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</si>
  <si>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</si>
  <si>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</si>
  <si>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</si>
  <si>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</si>
  <si>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</si>
  <si>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</si>
  <si>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</si>
  <si>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</si>
  <si>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</si>
  <si>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</si>
  <si>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</si>
  <si>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</si>
  <si>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</si>
  <si>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</si>
  <si>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</si>
  <si>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</si>
  <si>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</si>
  <si>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</si>
  <si>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</si>
  <si>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</si>
  <si>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</si>
  <si>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</si>
  <si>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</si>
  <si>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</si>
  <si>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</si>
  <si>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</si>
  <si>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</si>
  <si>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</si>
  <si>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</si>
  <si>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</si>
  <si>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</si>
  <si>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</si>
  <si>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</si>
  <si>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</si>
  <si>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</si>
  <si>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</si>
  <si>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</si>
  <si>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</si>
  <si>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</si>
  <si>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</si>
  <si>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</si>
  <si>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</si>
  <si>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</si>
  <si>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</si>
  <si>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</si>
  <si>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</si>
  <si>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</si>
  <si>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</si>
  <si>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</si>
  <si>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</si>
  <si>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</si>
  <si>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</si>
  <si>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</si>
  <si>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</si>
  <si>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</si>
  <si>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</si>
  <si>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</si>
  <si>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</si>
  <si>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</si>
  <si>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</si>
  <si>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</si>
  <si>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</si>
  <si>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</si>
  <si>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</si>
  <si>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</si>
  <si>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</si>
  <si>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</si>
  <si>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</si>
  <si>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</si>
  <si>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</si>
  <si>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</si>
  <si>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</si>
  <si>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</si>
  <si>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</si>
  <si>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</si>
  <si>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</si>
  <si>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</si>
  <si>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</si>
  <si>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</si>
  <si>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</si>
  <si>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</si>
  <si>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</si>
  <si>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</si>
  <si>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</si>
  <si>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</si>
  <si>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</si>
  <si>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</si>
  <si>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</si>
  <si>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</si>
  <si>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</si>
  <si>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</si>
  <si>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</si>
  <si>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</si>
  <si>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</si>
  <si>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</si>
  <si>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</si>
  <si>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</si>
  <si>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</si>
  <si>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</si>
  <si>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</si>
  <si>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</si>
  <si>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</si>
  <si>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</si>
  <si>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</si>
  <si>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</si>
  <si>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</si>
  <si>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</si>
  <si>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</si>
  <si>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</si>
  <si>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</si>
  <si>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</si>
  <si>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</si>
  <si>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</si>
  <si>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</si>
  <si>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</si>
  <si>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</si>
  <si>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</si>
  <si>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</si>
  <si>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</si>
  <si>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</si>
  <si>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</si>
  <si>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</si>
  <si>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</si>
  <si>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</si>
  <si>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</si>
  <si>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</si>
  <si>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</si>
  <si>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</si>
  <si>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</si>
  <si>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</si>
  <si>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</si>
  <si>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</si>
  <si>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</si>
  <si>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</si>
  <si>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</si>
  <si>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</si>
  <si>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</si>
  <si>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</si>
  <si>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</si>
  <si>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</si>
  <si>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</si>
  <si>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</si>
  <si>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12/02</t>
  </si>
  <si>
    <t>10/22</t>
  </si>
  <si>
    <t xml:space="preserve">Barrington School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</si>
</sst>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51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PageLayoutView="125" workbookViewId="0">
      <pane xSplit="5" ySplit="3" topLeftCell="F610" activePane="bottomRight" state="frozen"/>
      <selection pane="topRight" activeCell="F1" sqref="F1"/>
      <selection pane="bottomLeft" activeCell="A4" sqref="A4"/>
      <selection pane="bottomRight" activeCell="K360" sqref="K360"/>
    </sheetView>
  </sheetViews>
  <sheetFormatPr defaultColWidth="9"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911</v>
      </c>
      <c r="B2" s="21">
        <v>33</v>
      </c>
      <c r="C2" s="21">
        <v>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605508.16</v>
      </c>
      <c r="G9" s="18">
        <v>151.80000000000001</v>
      </c>
      <c r="H9" s="18">
        <v>66349.100000000006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6960.82</v>
      </c>
      <c r="G10" s="18"/>
      <c r="H10" s="18"/>
      <c r="I10" s="18"/>
      <c r="J10" s="67">
        <f>SUM(I439)</f>
        <v>960640.76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227076.93-67.7</f>
        <v>227009.22999999998</v>
      </c>
      <c r="G12" s="18"/>
      <c r="H12" s="18"/>
      <c r="I12" s="18"/>
      <c r="J12" s="67">
        <f>SUM(I440)</f>
        <v>25000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 t="s">
        <v>287</v>
      </c>
      <c r="G14" s="18" t="s">
        <v>287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60000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899478.21</v>
      </c>
      <c r="G19" s="41">
        <f>SUM(G9:G18)</f>
        <v>151.80000000000001</v>
      </c>
      <c r="H19" s="41">
        <f>SUM(H9:H18)</f>
        <v>66349.100000000006</v>
      </c>
      <c r="I19" s="41">
        <f>SUM(I9:I18)</f>
        <v>0</v>
      </c>
      <c r="J19" s="41">
        <f>SUM(J9:J18)</f>
        <v>985640.76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106.38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26883.94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550+536.25+6960.82</f>
        <v>8047.07</v>
      </c>
      <c r="G24" s="18" t="s">
        <v>287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34931.009999999995</v>
      </c>
      <c r="G32" s="41">
        <f>SUM(G22:G31)</f>
        <v>106.38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182910.01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90001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192778.59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 t="s">
        <v>287</v>
      </c>
      <c r="H47" s="18">
        <v>66349.100000000006</v>
      </c>
      <c r="I47" s="18"/>
      <c r="J47" s="13">
        <f>SUM(I458)</f>
        <v>985640.76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45.42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190774.26+260735.63-52652.29</f>
        <v>398857.60000000003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864547.2</v>
      </c>
      <c r="G50" s="41">
        <f>SUM(G35:G49)</f>
        <v>45.42</v>
      </c>
      <c r="H50" s="41">
        <f>SUM(H35:H49)</f>
        <v>66349.100000000006</v>
      </c>
      <c r="I50" s="41">
        <f>SUM(I35:I49)</f>
        <v>0</v>
      </c>
      <c r="J50" s="41">
        <f>SUM(J35:J49)</f>
        <v>985640.76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899478.21</v>
      </c>
      <c r="G51" s="41">
        <f>G50+G32</f>
        <v>151.80000000000001</v>
      </c>
      <c r="H51" s="41">
        <f>H50+H32</f>
        <v>66349.100000000006</v>
      </c>
      <c r="I51" s="41">
        <f>I50+I32</f>
        <v>0</v>
      </c>
      <c r="J51" s="41">
        <f>J50+J32</f>
        <v>985640.76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10813805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10813805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30815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46483.76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77298.760000000009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379.63</v>
      </c>
      <c r="G95" s="18"/>
      <c r="H95" s="18"/>
      <c r="I95" s="18"/>
      <c r="J95" s="18">
        <v>718.38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197525.62+2027</f>
        <v>199552.62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 t="s">
        <v>287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207825.68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208205.31</v>
      </c>
      <c r="G110" s="41">
        <f>SUM(G95:G109)</f>
        <v>199552.62</v>
      </c>
      <c r="H110" s="41">
        <f>SUM(H95:H109)</f>
        <v>0</v>
      </c>
      <c r="I110" s="41">
        <f>SUM(I95:I109)</f>
        <v>0</v>
      </c>
      <c r="J110" s="41">
        <f>SUM(J95:J109)</f>
        <v>718.38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11099309.07</v>
      </c>
      <c r="G111" s="41">
        <f>G59+G110</f>
        <v>199552.62</v>
      </c>
      <c r="H111" s="41">
        <f>H59+H78+H93+H110</f>
        <v>0</v>
      </c>
      <c r="I111" s="41">
        <f>I59+I110</f>
        <v>0</v>
      </c>
      <c r="J111" s="41">
        <f>J59+J110</f>
        <v>718.38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3921921.92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2029330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3398.08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5954650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231529.28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93788.41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4089.51</f>
        <v>4089.51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1688.96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327006.65000000002</v>
      </c>
      <c r="G135" s="41">
        <f>SUM(G122:G134)</f>
        <v>4089.51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6281656.6500000004</v>
      </c>
      <c r="G139" s="41">
        <f>G120+SUM(G135:G136)</f>
        <v>4089.51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121143.31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340107.3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94881.55</f>
        <v>94881.55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212248.38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130121.64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342370.02</v>
      </c>
      <c r="G161" s="41">
        <f>SUM(G149:G160)</f>
        <v>94881.55</v>
      </c>
      <c r="H161" s="41">
        <f>SUM(H149:H160)</f>
        <v>461250.61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342370.02</v>
      </c>
      <c r="G168" s="41">
        <f>G146+G161+SUM(G162:G167)</f>
        <v>94881.55</v>
      </c>
      <c r="H168" s="41">
        <f>H146+H161+SUM(H162:H167)</f>
        <v>461250.61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106.38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>
        <v>90001</v>
      </c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106.38</v>
      </c>
      <c r="H182" s="41">
        <f>SUM(H178:H181)</f>
        <v>0</v>
      </c>
      <c r="I182" s="41">
        <f>SUM(I178:I181)</f>
        <v>0</v>
      </c>
      <c r="J182" s="41">
        <f>SUM(J178:J181)</f>
        <v>115001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90001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90001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90001</v>
      </c>
      <c r="G191" s="41">
        <f>G182+SUM(G187:G190)</f>
        <v>106.38</v>
      </c>
      <c r="H191" s="41">
        <f>+H182+SUM(H187:H190)</f>
        <v>0</v>
      </c>
      <c r="I191" s="41">
        <f>I176+I182+SUM(I187:I190)</f>
        <v>0</v>
      </c>
      <c r="J191" s="41">
        <f>J182</f>
        <v>115001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17813336.739999998</v>
      </c>
      <c r="G192" s="47">
        <f>G111+G139+G168+G191</f>
        <v>298630.06</v>
      </c>
      <c r="H192" s="47">
        <f>H111+H139+H168+H191</f>
        <v>461250.61</v>
      </c>
      <c r="I192" s="47">
        <f>I111+I139+I168+I191</f>
        <v>0</v>
      </c>
      <c r="J192" s="47">
        <f>J111+J139+J191</f>
        <v>115719.38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1295238.22+52736.85+10880+82016.62+54290.44+61605</f>
        <v>1556767.13</v>
      </c>
      <c r="G196" s="18">
        <f>377381.64+2702.14+25472.78+15206.56+1116+2842.12+5215.59+156063+113216.03+4739.87+55993.57</f>
        <v>759949.3</v>
      </c>
      <c r="H196" s="18">
        <f>14193.12+1502.57+359+359+889.25</f>
        <v>17302.940000000002</v>
      </c>
      <c r="I196" s="18">
        <f>12336.7+466.54+957.04+2072.44+157.59+4437.42+892.86+385.94+313.74+1946.7+12390.29+1080.4+106.38</f>
        <v>37544.040000000008</v>
      </c>
      <c r="J196" s="18">
        <f>9999.97+2999.71+94.28</f>
        <v>13093.960000000001</v>
      </c>
      <c r="K196" s="18"/>
      <c r="L196" s="19">
        <f>SUM(F196:K196)</f>
        <v>2384657.3699999996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249496.5+37880.81+343262.66+66104.58+5618+15509.54+27000</f>
        <v>744872.09</v>
      </c>
      <c r="G197" s="18">
        <f>82383.2+4505.82+116896.98+30880.51+4417.1+196.52+1098+162+1555.56+205.08+32200.07+7479.69+28702.11+2550.75+46082.09+8197.65+1184.73+163.71+1273.79</f>
        <v>370135.36</v>
      </c>
      <c r="H197" s="18">
        <f>2463+45370.1</f>
        <v>47833.1</v>
      </c>
      <c r="I197" s="18">
        <f>4099.23+278.79+4000+180</f>
        <v>8558.02</v>
      </c>
      <c r="J197" s="18">
        <f>1995.83+449.87+2253.59+638.4+482.25</f>
        <v>5819.94</v>
      </c>
      <c r="K197" s="18"/>
      <c r="L197" s="19">
        <f>SUM(F197:K197)</f>
        <v>1177218.51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85999.7+53160+3510+21270.4+184874+37218.3</f>
        <v>386032.39999999997</v>
      </c>
      <c r="G201" s="18">
        <f>11729.28+522.96+108+108+9894.62+6885.17+173.43+4000+523.04+36+72+116.16+73.92+6114.64+4641.19+105.6+79983.6+3353.1+2847.32+7635.02+0.1+36+46.8+1909.22+1627.08+42.54</f>
        <v>142584.79</v>
      </c>
      <c r="H201" s="18">
        <f>378.16+15637.12</f>
        <v>16015.28</v>
      </c>
      <c r="I201" s="18">
        <f>255.72+388.42+305.82+2120.64</f>
        <v>3070.6</v>
      </c>
      <c r="J201" s="18">
        <v>2294</v>
      </c>
      <c r="K201" s="18">
        <f>4595.15</f>
        <v>4595.1499999999996</v>
      </c>
      <c r="L201" s="19">
        <f t="shared" ref="L201:L207" si="0">SUM(F201:K201)</f>
        <v>554592.22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2437.15+57734+39395+24322.5</f>
        <v>123888.65</v>
      </c>
      <c r="G202" s="18">
        <f>1492.04+36+126.96+6641.62+18070.58+4416.62+115.47+20617.62+843.94+36+86.04+4531.47+3013.77+14657.82</f>
        <v>74685.950000000012</v>
      </c>
      <c r="H202" s="18">
        <f>21552.56+209.96+14212.22</f>
        <v>35974.74</v>
      </c>
      <c r="I202" s="18">
        <f>741.69+6118.06+3337.5</f>
        <v>10197.25</v>
      </c>
      <c r="J202" s="18">
        <f>1000+1500+36108.29</f>
        <v>38608.29</v>
      </c>
      <c r="K202" s="18">
        <v>17283.95</v>
      </c>
      <c r="L202" s="19">
        <f t="shared" si="0"/>
        <v>300638.83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600+350+270+80421.85</f>
        <v>81641.850000000006</v>
      </c>
      <c r="G203" s="18">
        <f>148.55+30161.66</f>
        <v>30310.21</v>
      </c>
      <c r="H203" s="18">
        <f>26233.72+9580.85</f>
        <v>35814.57</v>
      </c>
      <c r="I203" s="18">
        <f>1154.67+609.62</f>
        <v>1764.29</v>
      </c>
      <c r="J203" s="18">
        <v>2994.97</v>
      </c>
      <c r="K203" s="18">
        <f>4755.37+1275.78</f>
        <v>6031.15</v>
      </c>
      <c r="L203" s="19">
        <f t="shared" si="0"/>
        <v>158557.04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82800+69500+56332.4</f>
        <v>208632.4</v>
      </c>
      <c r="G204" s="18">
        <f>38050.46+13866.84+3351.36+144+387.84+5188.02+18141.24+15960.54+417.26</f>
        <v>95507.560000000012</v>
      </c>
      <c r="H204" s="18">
        <f>3352+3305.91+2000+377.5+215</f>
        <v>9250.41</v>
      </c>
      <c r="I204" s="18">
        <f>222.75+147.72</f>
        <v>370.47</v>
      </c>
      <c r="J204" s="18">
        <f>1712.5</f>
        <v>1712.5</v>
      </c>
      <c r="K204" s="18">
        <v>594.95000000000005</v>
      </c>
      <c r="L204" s="19">
        <f t="shared" si="0"/>
        <v>316068.28999999998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SUM(57460+32844.7)/3</f>
        <v>30101.566666666666</v>
      </c>
      <c r="G205" s="18">
        <f>SUM(37798.98+3312.42+72+203.52+8480+6946.39+187.98)/3</f>
        <v>19000.43</v>
      </c>
      <c r="H205" s="18">
        <f>SUM(2400+500+250)/3</f>
        <v>1050</v>
      </c>
      <c r="I205" s="18">
        <f>1364.22/3</f>
        <v>454.74</v>
      </c>
      <c r="J205" s="18"/>
      <c r="K205" s="18"/>
      <c r="L205" s="19">
        <f t="shared" si="0"/>
        <v>50606.736666666664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146923.8</f>
        <v>146923.79999999999</v>
      </c>
      <c r="G206" s="18">
        <v>57839.9</v>
      </c>
      <c r="H206" s="18">
        <f>699.58+190+95+939.84+1430+1430+5470+4270+6881.16+2888.79+62273.25+3983.65+71669.15-2339</f>
        <v>159881.41999999998</v>
      </c>
      <c r="I206" s="18">
        <f>13086.45+5176.71+58293.73+13919.51+10460.68+636.2</f>
        <v>101573.27999999998</v>
      </c>
      <c r="J206" s="18"/>
      <c r="K206" s="18"/>
      <c r="L206" s="19">
        <f t="shared" si="0"/>
        <v>466218.39999999997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190530+50216.94+43020.16+2762.09</f>
        <v>286529.19</v>
      </c>
      <c r="I207" s="18"/>
      <c r="J207" s="18"/>
      <c r="K207" s="18"/>
      <c r="L207" s="19">
        <f t="shared" si="0"/>
        <v>286529.19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3278859.8866666663</v>
      </c>
      <c r="G210" s="41">
        <f t="shared" si="1"/>
        <v>1550013.5</v>
      </c>
      <c r="H210" s="41">
        <f t="shared" si="1"/>
        <v>609651.64999999991</v>
      </c>
      <c r="I210" s="41">
        <f t="shared" si="1"/>
        <v>163532.69</v>
      </c>
      <c r="J210" s="41">
        <f t="shared" si="1"/>
        <v>64523.66</v>
      </c>
      <c r="K210" s="41">
        <f t="shared" si="1"/>
        <v>28505.200000000001</v>
      </c>
      <c r="L210" s="41">
        <f t="shared" si="1"/>
        <v>5695086.5866666669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1269985.97+15561+79134.08+54290.45+61605</f>
        <v>1480576.5</v>
      </c>
      <c r="G214" s="18">
        <f>360235.66+4844.56+14923.42+1080+2728.08+31.58+153721.87+106605.79+4623.84+55993.57</f>
        <v>704788.36999999988</v>
      </c>
      <c r="H214" s="18">
        <f>18019.56+372.37</f>
        <v>18391.93</v>
      </c>
      <c r="I214" s="18">
        <f>13951.36+437.78+605.49+226.05+993.63+2080.39+2980.53+263.5+1164+404.12+1140+647.6+783.19+489.34+2038.17+8197.86+1194.36+1368.55</f>
        <v>38965.919999999998</v>
      </c>
      <c r="J214" s="18">
        <f>9998.37+2900.8</f>
        <v>12899.170000000002</v>
      </c>
      <c r="K214" s="18">
        <v>400</v>
      </c>
      <c r="L214" s="19">
        <f>SUM(F214:K214)</f>
        <v>2256021.89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253083.23+293586.03+114+15509.54</f>
        <v>562292.80000000005</v>
      </c>
      <c r="G215" s="18">
        <f>99540.76+80912.1+3940.94+792+1174.08+27776.57+30997.23+42134.92+1068.69+1273.79</f>
        <v>289611.07999999996</v>
      </c>
      <c r="H215" s="18">
        <f>245413.11+45370.1</f>
        <v>290783.20999999996</v>
      </c>
      <c r="I215" s="18">
        <f>4119.56+3627.51</f>
        <v>7747.0700000000006</v>
      </c>
      <c r="J215" s="18">
        <f>2997.55+3092.65+482.25</f>
        <v>6572.4500000000007</v>
      </c>
      <c r="K215" s="18"/>
      <c r="L215" s="19">
        <f>SUM(F215:K215)</f>
        <v>1157006.6099999999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13350+29350</f>
        <v>42700</v>
      </c>
      <c r="G217" s="18">
        <f>444.4+836.2+1021.28+334.4+2474.7+2245.29</f>
        <v>7356.2699999999995</v>
      </c>
      <c r="H217" s="18">
        <f>5817.5</f>
        <v>5817.5</v>
      </c>
      <c r="I217" s="18">
        <v>4997.9799999999996</v>
      </c>
      <c r="J217" s="18"/>
      <c r="K217" s="18">
        <v>510</v>
      </c>
      <c r="L217" s="19">
        <f>SUM(F217:K217)</f>
        <v>61381.75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85764.61+38943+184874+19284.4</f>
        <v>328866.01</v>
      </c>
      <c r="G219" s="18">
        <f>37823.5+1253.84+72+214.08+9883.62+6560.96+189.7+4000+36+85.56+4479.89+3285.09+77.89+79983.6+1736.72+1475.15</f>
        <v>151157.59999999998</v>
      </c>
      <c r="H219" s="18">
        <f>647.84+15637.13</f>
        <v>16284.97</v>
      </c>
      <c r="I219" s="18">
        <f>363.95+2120.64</f>
        <v>2484.5899999999997</v>
      </c>
      <c r="J219" s="18"/>
      <c r="K219" s="18">
        <f>4595.15</f>
        <v>4595.1499999999996</v>
      </c>
      <c r="L219" s="19">
        <f t="shared" ref="L219:L225" si="2">SUM(F219:K219)</f>
        <v>503388.32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2437.15+42165+24322.5+28727.7</f>
        <v>97652.349999999991</v>
      </c>
      <c r="G220" s="18">
        <f>18070.58+36+92.76+4857.81+3225.6+84.33+14657.82+20617.62+843.94+36+82.08+3246.21+2197.77</f>
        <v>68048.520000000019</v>
      </c>
      <c r="H220" s="18">
        <f>21552.56+14212.22+567</f>
        <v>36331.78</v>
      </c>
      <c r="I220" s="18">
        <f>224.67+5940.98-10.96</f>
        <v>6154.69</v>
      </c>
      <c r="J220" s="18">
        <f>2425.48+476.95+1287.9+36108.29</f>
        <v>40298.620000000003</v>
      </c>
      <c r="K220" s="18">
        <v>17283.95</v>
      </c>
      <c r="L220" s="19">
        <f t="shared" si="2"/>
        <v>265769.90999999997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600+350+270+80421.85</f>
        <v>81641.850000000006</v>
      </c>
      <c r="G221" s="18">
        <f>148.55+30161.66</f>
        <v>30310.21</v>
      </c>
      <c r="H221" s="18">
        <f>26233.72+9580.85</f>
        <v>35814.57</v>
      </c>
      <c r="I221" s="18">
        <v>1154.67</v>
      </c>
      <c r="J221" s="18">
        <v>2994.97</v>
      </c>
      <c r="K221" s="18">
        <f>4755.37+1275.78</f>
        <v>6031.15</v>
      </c>
      <c r="L221" s="19">
        <f t="shared" si="2"/>
        <v>157947.42000000001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84870+74520+58363.6</f>
        <v>217753.60000000001</v>
      </c>
      <c r="G222" s="18">
        <f>41486.62+7636.22+3613.54+144+392.28+5444.44+18985.84+16657.94+435.51</f>
        <v>94796.39</v>
      </c>
      <c r="H222" s="18">
        <f>1280+8735.4+1500+205.7</f>
        <v>11721.1</v>
      </c>
      <c r="I222" s="18">
        <f>625.26</f>
        <v>625.26</v>
      </c>
      <c r="J222" s="18">
        <f>9705</f>
        <v>9705</v>
      </c>
      <c r="K222" s="18">
        <f>2577.95+1058.53</f>
        <v>3636.4799999999996</v>
      </c>
      <c r="L222" s="19">
        <f t="shared" si="2"/>
        <v>338237.82999999996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SUM(57460+32844.7)/3</f>
        <v>30101.566666666666</v>
      </c>
      <c r="G223" s="18">
        <f>SUM(37798.98+3312.42+72+203.52+8480+6946.39+187.98)/3</f>
        <v>19000.43</v>
      </c>
      <c r="H223" s="18">
        <f>SUM(2400+500+250)/3</f>
        <v>1050</v>
      </c>
      <c r="I223" s="18">
        <f>1364.22/3</f>
        <v>454.74</v>
      </c>
      <c r="J223" s="18"/>
      <c r="K223" s="18"/>
      <c r="L223" s="19">
        <f t="shared" si="2"/>
        <v>50606.736666666664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146923.8</f>
        <v>146923.79999999999</v>
      </c>
      <c r="G224" s="18">
        <v>57839.9</v>
      </c>
      <c r="H224" s="18">
        <f>779.67+1430+2890+6510.3+37505.63+95+71669.15</f>
        <v>120879.75</v>
      </c>
      <c r="I224" s="18">
        <f>25887.71+122976.78+3862.29</f>
        <v>152726.78</v>
      </c>
      <c r="J224" s="18"/>
      <c r="K224" s="18"/>
      <c r="L224" s="19">
        <f t="shared" si="2"/>
        <v>478370.23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51464.43+190530+8473.18+4823.76</f>
        <v>255291.37</v>
      </c>
      <c r="I225" s="18"/>
      <c r="J225" s="18"/>
      <c r="K225" s="18"/>
      <c r="L225" s="19">
        <f t="shared" si="2"/>
        <v>255291.37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2988508.476666667</v>
      </c>
      <c r="G228" s="41">
        <f>SUM(G214:G227)</f>
        <v>1422908.7699999996</v>
      </c>
      <c r="H228" s="41">
        <f>SUM(H214:H227)</f>
        <v>792366.17999999982</v>
      </c>
      <c r="I228" s="41">
        <f>SUM(I214:I227)</f>
        <v>215311.7</v>
      </c>
      <c r="J228" s="41">
        <f>SUM(J214:J227)</f>
        <v>72470.210000000006</v>
      </c>
      <c r="K228" s="41">
        <f t="shared" si="3"/>
        <v>32456.73</v>
      </c>
      <c r="L228" s="41">
        <f t="shared" si="3"/>
        <v>5524022.0666666655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3461632+947199.39</f>
        <v>4408831.3899999997</v>
      </c>
      <c r="I232" s="18"/>
      <c r="J232" s="18"/>
      <c r="K232" s="18"/>
      <c r="L232" s="19">
        <f>SUM(F232:K232)</f>
        <v>4408831.3899999997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65054.36+257848.21</f>
        <v>322902.57</v>
      </c>
      <c r="I233" s="18"/>
      <c r="J233" s="18">
        <f>399+399</f>
        <v>798</v>
      </c>
      <c r="K233" s="18"/>
      <c r="L233" s="19">
        <f>SUM(F233:K233)</f>
        <v>323700.57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80421.850000000006</v>
      </c>
      <c r="G239" s="18">
        <v>30161.66</v>
      </c>
      <c r="H239" s="18">
        <v>9580.85</v>
      </c>
      <c r="I239" s="18">
        <v>1154.67</v>
      </c>
      <c r="J239" s="18">
        <v>2994.97</v>
      </c>
      <c r="K239" s="18">
        <v>1275.78</v>
      </c>
      <c r="L239" s="19">
        <f t="shared" si="4"/>
        <v>125589.78000000001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SUM(57460+32844.7)/3</f>
        <v>30101.566666666666</v>
      </c>
      <c r="G241" s="18">
        <f>SUM(37798.98+3312.42+72+203.52+8480+6946.39+187.98)/3</f>
        <v>19000.43</v>
      </c>
      <c r="H241" s="18">
        <f>SUM(2400+500+250)/3</f>
        <v>1050</v>
      </c>
      <c r="I241" s="18">
        <f>1364.22/3</f>
        <v>454.74</v>
      </c>
      <c r="J241" s="18"/>
      <c r="K241" s="18"/>
      <c r="L241" s="19">
        <f t="shared" si="4"/>
        <v>50606.736666666664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152424+48239.43</f>
        <v>200663.43</v>
      </c>
      <c r="I243" s="18"/>
      <c r="J243" s="18"/>
      <c r="K243" s="18"/>
      <c r="L243" s="19">
        <f t="shared" si="4"/>
        <v>200663.43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110523.41666666667</v>
      </c>
      <c r="G246" s="41">
        <f t="shared" si="5"/>
        <v>49162.09</v>
      </c>
      <c r="H246" s="41">
        <f t="shared" si="5"/>
        <v>4943028.2399999993</v>
      </c>
      <c r="I246" s="41">
        <f t="shared" si="5"/>
        <v>1609.41</v>
      </c>
      <c r="J246" s="41">
        <f t="shared" si="5"/>
        <v>3792.97</v>
      </c>
      <c r="K246" s="41">
        <f t="shared" si="5"/>
        <v>1275.78</v>
      </c>
      <c r="L246" s="41">
        <f t="shared" si="5"/>
        <v>5109391.9066666663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35473.17</v>
      </c>
      <c r="L254" s="19">
        <f t="shared" si="6"/>
        <v>35473.17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35473.17</v>
      </c>
      <c r="L255" s="41">
        <f>SUM(F255:K255)</f>
        <v>35473.17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6377891.7800000003</v>
      </c>
      <c r="G256" s="41">
        <f t="shared" si="8"/>
        <v>3022084.3599999994</v>
      </c>
      <c r="H256" s="41">
        <f t="shared" si="8"/>
        <v>6345046.0699999984</v>
      </c>
      <c r="I256" s="41">
        <f t="shared" si="8"/>
        <v>380453.8</v>
      </c>
      <c r="J256" s="41">
        <f t="shared" si="8"/>
        <v>140786.84</v>
      </c>
      <c r="K256" s="41">
        <f t="shared" si="8"/>
        <v>97710.88</v>
      </c>
      <c r="L256" s="41">
        <f t="shared" si="8"/>
        <v>16363973.729999999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710000</v>
      </c>
      <c r="L259" s="19">
        <f>SUM(F259:K259)</f>
        <v>710000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363520</v>
      </c>
      <c r="L260" s="19">
        <f>SUM(F260:K260)</f>
        <v>363520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106.38</v>
      </c>
      <c r="L262" s="19">
        <f>SUM(F262:K262)</f>
        <v>106.38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 t="s">
        <v>287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 t="s">
        <v>287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1098626.3799999999</v>
      </c>
      <c r="L269" s="41">
        <f t="shared" si="9"/>
        <v>1098626.3799999999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6377891.7800000003</v>
      </c>
      <c r="G270" s="42">
        <f t="shared" si="11"/>
        <v>3022084.3599999994</v>
      </c>
      <c r="H270" s="42">
        <f t="shared" si="11"/>
        <v>6345046.0699999984</v>
      </c>
      <c r="I270" s="42">
        <f t="shared" si="11"/>
        <v>380453.8</v>
      </c>
      <c r="J270" s="42">
        <f t="shared" si="11"/>
        <v>140786.84</v>
      </c>
      <c r="K270" s="42">
        <f t="shared" si="11"/>
        <v>1196337.2599999998</v>
      </c>
      <c r="L270" s="42">
        <f t="shared" si="11"/>
        <v>17462600.109999999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675+2450+61262</f>
        <v>64387</v>
      </c>
      <c r="G275" s="18">
        <f>52.3+51.66+8.32+181.81+187.46+60+112.2+7052.49+4686.44</f>
        <v>12392.68</v>
      </c>
      <c r="H275" s="18">
        <f>157.45+3724+3195</f>
        <v>7076.45</v>
      </c>
      <c r="I275" s="18">
        <f>294.3+2356.85+2250+1208.98+243.6+500.1</f>
        <v>6853.83</v>
      </c>
      <c r="J275" s="18"/>
      <c r="K275" s="18"/>
      <c r="L275" s="19">
        <f>SUM(F275:K275)</f>
        <v>90709.959999999992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5550+1000+78142.55+147373.19+225</f>
        <v>232290.74</v>
      </c>
      <c r="G276" s="18">
        <f>424.59+6924.8+113+6054.55+26575.3+2133.16+75+256.3+16874.86+11337.3</f>
        <v>70768.86</v>
      </c>
      <c r="H276" s="18">
        <f>5236.1+10694.58+5000+30</f>
        <v>20960.68</v>
      </c>
      <c r="I276" s="18">
        <f>637.31+305.46+3716.51+3053.43+198.62+124.83</f>
        <v>8036.1600000000008</v>
      </c>
      <c r="J276" s="18">
        <v>202.88</v>
      </c>
      <c r="K276" s="18"/>
      <c r="L276" s="19">
        <f>SUM(F276:K276)</f>
        <v>332259.31999999995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179.25</v>
      </c>
      <c r="I280" s="18"/>
      <c r="J280" s="18"/>
      <c r="K280" s="18"/>
      <c r="L280" s="19">
        <f t="shared" ref="L280:L286" si="12">SUM(F280:K280)</f>
        <v>179.25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826.98+5200+14461.48</f>
        <v>20488.46</v>
      </c>
      <c r="I281" s="18"/>
      <c r="J281" s="18"/>
      <c r="K281" s="18"/>
      <c r="L281" s="19">
        <f t="shared" si="12"/>
        <v>20488.46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296677.74</v>
      </c>
      <c r="G289" s="42">
        <f t="shared" si="13"/>
        <v>83161.540000000008</v>
      </c>
      <c r="H289" s="42">
        <f t="shared" si="13"/>
        <v>48704.84</v>
      </c>
      <c r="I289" s="42">
        <f t="shared" si="13"/>
        <v>14889.990000000002</v>
      </c>
      <c r="J289" s="42">
        <f t="shared" si="13"/>
        <v>202.88</v>
      </c>
      <c r="K289" s="42">
        <f t="shared" si="13"/>
        <v>0</v>
      </c>
      <c r="L289" s="41">
        <f t="shared" si="13"/>
        <v>443636.98999999993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>
        <v>4029.66</v>
      </c>
      <c r="J294" s="18"/>
      <c r="K294" s="18"/>
      <c r="L294" s="19">
        <f>SUM(F294:K294)</f>
        <v>4029.66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4029.66</v>
      </c>
      <c r="J308" s="42">
        <f t="shared" si="15"/>
        <v>0</v>
      </c>
      <c r="K308" s="42">
        <f t="shared" si="15"/>
        <v>0</v>
      </c>
      <c r="L308" s="41">
        <f t="shared" si="15"/>
        <v>4029.66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296677.74</v>
      </c>
      <c r="G337" s="41">
        <f t="shared" si="20"/>
        <v>83161.540000000008</v>
      </c>
      <c r="H337" s="41">
        <f t="shared" si="20"/>
        <v>48704.84</v>
      </c>
      <c r="I337" s="41">
        <f t="shared" si="20"/>
        <v>18919.650000000001</v>
      </c>
      <c r="J337" s="41">
        <f t="shared" si="20"/>
        <v>202.88</v>
      </c>
      <c r="K337" s="41">
        <f t="shared" si="20"/>
        <v>0</v>
      </c>
      <c r="L337" s="41">
        <f t="shared" si="20"/>
        <v>447666.64999999991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2423.31+4212.39+171.72</f>
        <v>6807.420000000001</v>
      </c>
      <c r="L343" s="19">
        <f t="shared" ref="L343:L349" si="21">SUM(F343:K343)</f>
        <v>6807.420000000001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6807.420000000001</v>
      </c>
      <c r="L350" s="41">
        <f>SUM(L340:L349)</f>
        <v>6807.420000000001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296677.74</v>
      </c>
      <c r="G351" s="41">
        <f>G337</f>
        <v>83161.540000000008</v>
      </c>
      <c r="H351" s="41">
        <f>H337</f>
        <v>48704.84</v>
      </c>
      <c r="I351" s="41">
        <f>I337</f>
        <v>18919.650000000001</v>
      </c>
      <c r="J351" s="41">
        <f>J337</f>
        <v>202.88</v>
      </c>
      <c r="K351" s="47">
        <f>K337+K350</f>
        <v>6807.420000000001</v>
      </c>
      <c r="L351" s="41">
        <f>L337+L350</f>
        <v>454474.06999999989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2409.74/2+147801</f>
        <v>149005.87</v>
      </c>
      <c r="I357" s="18">
        <f>(209.05+8.65)/2</f>
        <v>108.85000000000001</v>
      </c>
      <c r="J357" s="18"/>
      <c r="K357" s="18"/>
      <c r="L357" s="13">
        <f>SUM(F357:K357)</f>
        <v>149114.72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f>2409.74/2+147801</f>
        <v>149005.87</v>
      </c>
      <c r="I358" s="18">
        <f>(209.05+8.65)/2</f>
        <v>108.85000000000001</v>
      </c>
      <c r="J358" s="18"/>
      <c r="K358" s="18"/>
      <c r="L358" s="19">
        <f>SUM(F358:K358)</f>
        <v>149114.72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298011.74</v>
      </c>
      <c r="I361" s="47">
        <f t="shared" si="22"/>
        <v>217.70000000000002</v>
      </c>
      <c r="J361" s="47">
        <f t="shared" si="22"/>
        <v>0</v>
      </c>
      <c r="K361" s="47">
        <f t="shared" si="22"/>
        <v>0</v>
      </c>
      <c r="L361" s="47">
        <f t="shared" si="22"/>
        <v>298229.44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104.53</v>
      </c>
      <c r="G366" s="18">
        <v>104.52</v>
      </c>
      <c r="H366" s="18"/>
      <c r="I366" s="56">
        <f>SUM(F366:H366)</f>
        <v>209.05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8.65/2</f>
        <v>4.3250000000000002</v>
      </c>
      <c r="G367" s="63">
        <v>4.32</v>
      </c>
      <c r="H367" s="63"/>
      <c r="I367" s="56">
        <f>SUM(F367:H367)</f>
        <v>8.6449999999999996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108.855</v>
      </c>
      <c r="G368" s="47">
        <f>SUM(G366:G367)</f>
        <v>108.84</v>
      </c>
      <c r="H368" s="47">
        <f>SUM(H366:H367)</f>
        <v>0</v>
      </c>
      <c r="I368" s="47">
        <f>SUM(I366:I367)</f>
        <v>217.69500000000002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 t="s">
        <v>287</v>
      </c>
      <c r="G387" s="18" t="s">
        <v>287</v>
      </c>
      <c r="H387" s="18">
        <v>718.38</v>
      </c>
      <c r="I387" s="18"/>
      <c r="J387" s="24" t="s">
        <v>289</v>
      </c>
      <c r="K387" s="24" t="s">
        <v>289</v>
      </c>
      <c r="L387" s="56">
        <f t="shared" si="25"/>
        <v>718.38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718.38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718.38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90001</v>
      </c>
      <c r="H395" s="18"/>
      <c r="I395" s="18"/>
      <c r="J395" s="24" t="s">
        <v>289</v>
      </c>
      <c r="K395" s="24" t="s">
        <v>289</v>
      </c>
      <c r="L395" s="56">
        <f t="shared" si="26"/>
        <v>90001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25000</v>
      </c>
      <c r="H398" s="18"/>
      <c r="I398" s="18"/>
      <c r="J398" s="24" t="s">
        <v>289</v>
      </c>
      <c r="K398" s="24" t="s">
        <v>289</v>
      </c>
      <c r="L398" s="56">
        <f t="shared" si="26"/>
        <v>25000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115001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115001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115001</v>
      </c>
      <c r="H407" s="47">
        <f>H392+H400+H406</f>
        <v>718.38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115719.38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>
        <v>90001</v>
      </c>
      <c r="L413" s="56">
        <f t="shared" si="27"/>
        <v>90001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90001</v>
      </c>
      <c r="L418" s="47">
        <f t="shared" si="28"/>
        <v>90001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 t="s">
        <v>287</v>
      </c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90001</v>
      </c>
      <c r="L433" s="47">
        <f t="shared" si="32"/>
        <v>90001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960640.76</v>
      </c>
      <c r="G439" s="18"/>
      <c r="H439" s="18"/>
      <c r="I439" s="56">
        <f t="shared" si="33"/>
        <v>960640.76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25000</v>
      </c>
      <c r="G440" s="18"/>
      <c r="H440" s="18"/>
      <c r="I440" s="56">
        <f t="shared" si="33"/>
        <v>25000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985640.76</v>
      </c>
      <c r="G445" s="13">
        <f>SUM(G438:G444)</f>
        <v>0</v>
      </c>
      <c r="H445" s="13">
        <f>SUM(H438:H444)</f>
        <v>0</v>
      </c>
      <c r="I445" s="13">
        <f>SUM(I438:I444)</f>
        <v>985640.76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985640.76</v>
      </c>
      <c r="G458" s="18"/>
      <c r="H458" s="18"/>
      <c r="I458" s="56">
        <f t="shared" si="34"/>
        <v>985640.76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985640.76</v>
      </c>
      <c r="G459" s="83">
        <f>SUM(G453:G458)</f>
        <v>0</v>
      </c>
      <c r="H459" s="83">
        <f>SUM(H453:H458)</f>
        <v>0</v>
      </c>
      <c r="I459" s="83">
        <f>SUM(I453:I458)</f>
        <v>985640.76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985640.76</v>
      </c>
      <c r="G460" s="42">
        <f>G451+G459</f>
        <v>0</v>
      </c>
      <c r="H460" s="42">
        <f>H451+H459</f>
        <v>0</v>
      </c>
      <c r="I460" s="42">
        <f>I451+I459</f>
        <v>985640.76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566462.86</v>
      </c>
      <c r="G464" s="18">
        <v>-355.2</v>
      </c>
      <c r="H464" s="18">
        <v>59572.56</v>
      </c>
      <c r="I464" s="18"/>
      <c r="J464" s="18">
        <v>959922.38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17723335.74+90001</f>
        <v>17813336.739999998</v>
      </c>
      <c r="G467" s="18">
        <f>298630.06</f>
        <v>298630.06</v>
      </c>
      <c r="H467" s="18">
        <v>461250.61</v>
      </c>
      <c r="I467" s="18" t="s">
        <v>287</v>
      </c>
      <c r="J467" s="18">
        <f>25718.38+90001</f>
        <v>115719.38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 t="s">
        <v>287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17813336.739999998</v>
      </c>
      <c r="G469" s="53">
        <f>SUM(G467:G468)</f>
        <v>298630.06</v>
      </c>
      <c r="H469" s="53">
        <f>SUM(H467:H468)</f>
        <v>461250.61</v>
      </c>
      <c r="I469" s="53">
        <f>SUM(I467:I468)</f>
        <v>0</v>
      </c>
      <c r="J469" s="53">
        <f>SUM(J467:J468)</f>
        <v>115719.38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17462600.109999999</v>
      </c>
      <c r="G471" s="18">
        <v>298229.44</v>
      </c>
      <c r="H471" s="18">
        <v>454474.07</v>
      </c>
      <c r="I471" s="18"/>
      <c r="J471" s="18">
        <v>90001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52652.29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17515252.399999999</v>
      </c>
      <c r="G473" s="53">
        <f>SUM(G471:G472)</f>
        <v>298229.44</v>
      </c>
      <c r="H473" s="53">
        <f>SUM(H471:H472)</f>
        <v>454474.07</v>
      </c>
      <c r="I473" s="53">
        <f>SUM(I471:I472)</f>
        <v>0</v>
      </c>
      <c r="J473" s="53">
        <f>SUM(J471:J472)</f>
        <v>90001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864547.19999999925</v>
      </c>
      <c r="G475" s="53">
        <f>(G464+G469)- G473</f>
        <v>45.419999999983702</v>
      </c>
      <c r="H475" s="53">
        <f>(H464+H469)- H473</f>
        <v>66349.099999999977</v>
      </c>
      <c r="I475" s="53">
        <f>(I464+I469)- I473</f>
        <v>0</v>
      </c>
      <c r="J475" s="53">
        <f>(J464+J469)- J473</f>
        <v>985640.76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14144129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7810000</v>
      </c>
      <c r="G494" s="18"/>
      <c r="H494" s="18"/>
      <c r="I494" s="18"/>
      <c r="J494" s="18"/>
      <c r="K494" s="53">
        <f>SUM(F494:J494)</f>
        <v>7810000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710000</v>
      </c>
      <c r="G496" s="18"/>
      <c r="H496" s="18"/>
      <c r="I496" s="18"/>
      <c r="J496" s="18"/>
      <c r="K496" s="53">
        <f t="shared" si="35"/>
        <v>710000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7100000</v>
      </c>
      <c r="G497" s="205"/>
      <c r="H497" s="205"/>
      <c r="I497" s="205"/>
      <c r="J497" s="205"/>
      <c r="K497" s="206">
        <f t="shared" si="35"/>
        <v>7100000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2377594.7000000002</v>
      </c>
      <c r="G498" s="18"/>
      <c r="H498" s="18"/>
      <c r="I498" s="18"/>
      <c r="J498" s="18"/>
      <c r="K498" s="53">
        <f t="shared" si="35"/>
        <v>2377594.7000000002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9477594.6999999993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9477594.6999999993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710000</v>
      </c>
      <c r="G500" s="205"/>
      <c r="H500" s="205"/>
      <c r="I500" s="205"/>
      <c r="J500" s="205"/>
      <c r="K500" s="206">
        <f t="shared" si="35"/>
        <v>710000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334410</v>
      </c>
      <c r="G501" s="18"/>
      <c r="H501" s="18"/>
      <c r="I501" s="18"/>
      <c r="J501" s="18"/>
      <c r="K501" s="53">
        <f t="shared" si="35"/>
        <v>334410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1044410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1044410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</f>
        <v>744872.09</v>
      </c>
      <c r="G520" s="18">
        <v>370135.36</v>
      </c>
      <c r="H520" s="18">
        <f>47833.1+105205.47</f>
        <v>153038.57</v>
      </c>
      <c r="I520" s="18">
        <v>8558.02</v>
      </c>
      <c r="J520" s="18">
        <v>58196.94</v>
      </c>
      <c r="K520" s="18"/>
      <c r="L520" s="88">
        <f>SUM(F520:K520)</f>
        <v>1334800.98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562292.80000000005</v>
      </c>
      <c r="G521" s="18">
        <v>289611.08</v>
      </c>
      <c r="H521" s="18">
        <f>290783.21-105205.47</f>
        <v>185577.74000000002</v>
      </c>
      <c r="I521" s="18">
        <v>7747.07</v>
      </c>
      <c r="J521" s="18">
        <v>6572.45</v>
      </c>
      <c r="K521" s="18"/>
      <c r="L521" s="88">
        <f>SUM(F521:K521)</f>
        <v>1051801.1400000001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322902.57</v>
      </c>
      <c r="I522" s="18"/>
      <c r="J522" s="18">
        <v>798</v>
      </c>
      <c r="K522" s="18"/>
      <c r="L522" s="88">
        <f>SUM(F522:K522)</f>
        <v>323700.57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1307164.8900000001</v>
      </c>
      <c r="G523" s="108">
        <f t="shared" ref="G523:L523" si="36">SUM(G520:G522)</f>
        <v>659746.43999999994</v>
      </c>
      <c r="H523" s="108">
        <f t="shared" si="36"/>
        <v>661518.88000000012</v>
      </c>
      <c r="I523" s="108">
        <f t="shared" si="36"/>
        <v>16305.09</v>
      </c>
      <c r="J523" s="108">
        <f t="shared" si="36"/>
        <v>65567.39</v>
      </c>
      <c r="K523" s="108">
        <f t="shared" si="36"/>
        <v>0</v>
      </c>
      <c r="L523" s="89">
        <f t="shared" si="36"/>
        <v>2710302.69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386032.4</v>
      </c>
      <c r="G525" s="18">
        <v>142584.79</v>
      </c>
      <c r="H525" s="18">
        <v>16015.28</v>
      </c>
      <c r="I525" s="18">
        <v>3070.6</v>
      </c>
      <c r="J525" s="18">
        <v>2294</v>
      </c>
      <c r="K525" s="18">
        <v>4595.1499999999996</v>
      </c>
      <c r="L525" s="88">
        <f>SUM(F525:K525)</f>
        <v>554592.22000000009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328866.01</v>
      </c>
      <c r="G526" s="18">
        <v>151157.6</v>
      </c>
      <c r="H526" s="18">
        <v>16284.97</v>
      </c>
      <c r="I526" s="18">
        <v>2484.59</v>
      </c>
      <c r="J526" s="18"/>
      <c r="K526" s="18">
        <v>4595.1499999999996</v>
      </c>
      <c r="L526" s="88">
        <f>SUM(F526:K526)</f>
        <v>503388.32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714898.41</v>
      </c>
      <c r="G528" s="89">
        <f t="shared" ref="G528:L528" si="37">SUM(G525:G527)</f>
        <v>293742.39</v>
      </c>
      <c r="H528" s="89">
        <f t="shared" si="37"/>
        <v>32300.25</v>
      </c>
      <c r="I528" s="89">
        <f t="shared" si="37"/>
        <v>5555.1900000000005</v>
      </c>
      <c r="J528" s="89">
        <f t="shared" si="37"/>
        <v>2294</v>
      </c>
      <c r="K528" s="89">
        <f t="shared" si="37"/>
        <v>9190.2999999999993</v>
      </c>
      <c r="L528" s="89">
        <f t="shared" si="37"/>
        <v>1057980.54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SUM(87958.44+34424)/3</f>
        <v>40794.146666666667</v>
      </c>
      <c r="G530" s="18">
        <f>SUM(9362.26+10769.69+20000+15000)/3</f>
        <v>18377.316666666666</v>
      </c>
      <c r="H530" s="18"/>
      <c r="I530" s="18"/>
      <c r="J530" s="18"/>
      <c r="K530" s="18"/>
      <c r="L530" s="88">
        <f>SUM(F530:K530)</f>
        <v>59171.463333333333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SUM(87958.44+34424)/3</f>
        <v>40794.146666666667</v>
      </c>
      <c r="G531" s="18">
        <f>SUM(9362.26+10769.69+20000+15000)/3</f>
        <v>18377.316666666666</v>
      </c>
      <c r="H531" s="18"/>
      <c r="I531" s="18"/>
      <c r="J531" s="18"/>
      <c r="K531" s="18"/>
      <c r="L531" s="88">
        <f>SUM(F531:K531)</f>
        <v>59171.463333333333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SUM(87958.44+34424)/3</f>
        <v>40794.146666666667</v>
      </c>
      <c r="G532" s="18">
        <f>SUM(9362.26+10769.69+20000+15000)/3</f>
        <v>18377.316666666666</v>
      </c>
      <c r="H532" s="18"/>
      <c r="I532" s="18"/>
      <c r="J532" s="18"/>
      <c r="K532" s="18"/>
      <c r="L532" s="88">
        <f>SUM(F532:K532)</f>
        <v>59171.463333333333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122382.44</v>
      </c>
      <c r="G533" s="89">
        <f t="shared" ref="G533:L533" si="38">SUM(G530:G532)</f>
        <v>55131.95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177514.39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37094.12/3</f>
        <v>12364.706666666667</v>
      </c>
      <c r="I535" s="18"/>
      <c r="J535" s="18"/>
      <c r="K535" s="18"/>
      <c r="L535" s="88">
        <f>SUM(F535:K535)</f>
        <v>12364.706666666667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37094.12/3</f>
        <v>12364.706666666667</v>
      </c>
      <c r="I536" s="18"/>
      <c r="J536" s="18"/>
      <c r="K536" s="18"/>
      <c r="L536" s="88">
        <f>SUM(F536:K536)</f>
        <v>12364.706666666667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37094.12/3</f>
        <v>12364.706666666667</v>
      </c>
      <c r="I537" s="18"/>
      <c r="J537" s="18"/>
      <c r="K537" s="18"/>
      <c r="L537" s="88">
        <f>SUM(F537:K537)</f>
        <v>12364.706666666667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37094.120000000003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37094.120000000003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50216.94+43020.16</f>
        <v>93237.1</v>
      </c>
      <c r="I540" s="18"/>
      <c r="J540" s="18"/>
      <c r="K540" s="18"/>
      <c r="L540" s="88">
        <f>SUM(F540:K540)</f>
        <v>93237.1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51464.43</v>
      </c>
      <c r="I541" s="18"/>
      <c r="J541" s="18"/>
      <c r="K541" s="18"/>
      <c r="L541" s="88">
        <f>SUM(F541:K541)</f>
        <v>51464.43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48239.43</v>
      </c>
      <c r="I542" s="18"/>
      <c r="J542" s="18"/>
      <c r="K542" s="18"/>
      <c r="L542" s="88">
        <f>SUM(F542:K542)</f>
        <v>48239.43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192940.96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192940.96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2144445.7400000002</v>
      </c>
      <c r="G544" s="89">
        <f t="shared" ref="G544:L544" si="41">G523+G528+G533+G538+G543</f>
        <v>1008620.7799999999</v>
      </c>
      <c r="H544" s="89">
        <f t="shared" si="41"/>
        <v>923854.21000000008</v>
      </c>
      <c r="I544" s="89">
        <f t="shared" si="41"/>
        <v>21860.28</v>
      </c>
      <c r="J544" s="89">
        <f t="shared" si="41"/>
        <v>67861.39</v>
      </c>
      <c r="K544" s="89">
        <f t="shared" si="41"/>
        <v>9190.2999999999993</v>
      </c>
      <c r="L544" s="89">
        <f t="shared" si="41"/>
        <v>4175832.7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1334800.98</v>
      </c>
      <c r="G548" s="87">
        <f>L525</f>
        <v>554592.22000000009</v>
      </c>
      <c r="H548" s="87">
        <f>L530</f>
        <v>59171.463333333333</v>
      </c>
      <c r="I548" s="87">
        <f>L535</f>
        <v>12364.706666666667</v>
      </c>
      <c r="J548" s="87">
        <f>L540</f>
        <v>93237.1</v>
      </c>
      <c r="K548" s="87">
        <f>SUM(F548:J548)</f>
        <v>2054166.4700000004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1051801.1400000001</v>
      </c>
      <c r="G549" s="87">
        <f>L526</f>
        <v>503388.32</v>
      </c>
      <c r="H549" s="87">
        <f>L531</f>
        <v>59171.463333333333</v>
      </c>
      <c r="I549" s="87">
        <f>L536</f>
        <v>12364.706666666667</v>
      </c>
      <c r="J549" s="87">
        <f>L541</f>
        <v>51464.43</v>
      </c>
      <c r="K549" s="87">
        <f>SUM(F549:J549)</f>
        <v>1678190.0600000003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323700.57</v>
      </c>
      <c r="G550" s="87">
        <f>L527</f>
        <v>0</v>
      </c>
      <c r="H550" s="87">
        <f>L532</f>
        <v>59171.463333333333</v>
      </c>
      <c r="I550" s="87">
        <f>L537</f>
        <v>12364.706666666667</v>
      </c>
      <c r="J550" s="87">
        <f>L542</f>
        <v>48239.43</v>
      </c>
      <c r="K550" s="87">
        <f>SUM(F550:J550)</f>
        <v>443476.17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2710302.69</v>
      </c>
      <c r="G551" s="89">
        <f t="shared" si="42"/>
        <v>1057980.54</v>
      </c>
      <c r="H551" s="89">
        <f t="shared" si="42"/>
        <v>177514.39</v>
      </c>
      <c r="I551" s="89">
        <f t="shared" si="42"/>
        <v>37094.120000000003</v>
      </c>
      <c r="J551" s="89">
        <f t="shared" si="42"/>
        <v>192940.96</v>
      </c>
      <c r="K551" s="89">
        <f t="shared" si="42"/>
        <v>4175832.7000000007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3461632</v>
      </c>
      <c r="I574" s="87">
        <f>SUM(F574:H574)</f>
        <v>3461632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947199.39</v>
      </c>
      <c r="I576" s="87">
        <f t="shared" si="47"/>
        <v>947199.39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 t="s">
        <v>287</v>
      </c>
      <c r="H578" s="18">
        <f>257848.21</f>
        <v>257848.21</v>
      </c>
      <c r="I578" s="87">
        <f t="shared" si="47"/>
        <v>257848.21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105205.47</v>
      </c>
      <c r="G581" s="18">
        <f>245413.11-105205.47</f>
        <v>140207.63999999998</v>
      </c>
      <c r="H581" s="18">
        <v>65054.36</v>
      </c>
      <c r="I581" s="87">
        <f t="shared" si="47"/>
        <v>310467.46999999997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190530</f>
        <v>190530</v>
      </c>
      <c r="I590" s="18">
        <v>190530</v>
      </c>
      <c r="J590" s="18">
        <v>152424</v>
      </c>
      <c r="K590" s="104">
        <f t="shared" ref="K590:K596" si="48">SUM(H590:J590)</f>
        <v>533484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50216.94+43020.16</f>
        <v>93237.1</v>
      </c>
      <c r="I591" s="18">
        <v>51464.43</v>
      </c>
      <c r="J591" s="18">
        <v>48239.43</v>
      </c>
      <c r="K591" s="104">
        <f t="shared" si="48"/>
        <v>192940.96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4823.76</v>
      </c>
      <c r="J593" s="18"/>
      <c r="K593" s="104">
        <f t="shared" si="48"/>
        <v>4823.76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2762.09</v>
      </c>
      <c r="I594" s="18">
        <v>8473.18</v>
      </c>
      <c r="J594" s="18"/>
      <c r="K594" s="104">
        <f t="shared" si="48"/>
        <v>11235.27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286529.19</v>
      </c>
      <c r="I597" s="108">
        <f>SUM(I590:I596)</f>
        <v>255291.37</v>
      </c>
      <c r="J597" s="108">
        <f>SUM(J590:J596)</f>
        <v>200663.43</v>
      </c>
      <c r="K597" s="108">
        <f>SUM(K590:K596)</f>
        <v>742483.99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9999.97+2999.71+94.38+1995.83+449.87+2253.59+638.4+964.5+2294+1000+1500+36108.29+4492.45+1712.5+2628.27</f>
        <v>69131.759999999995</v>
      </c>
      <c r="I603" s="18">
        <f>9998.37+2900.8+2997.55+3092.65+476.95+1287.9+36108.29+4492.45+9705</f>
        <v>71059.960000000006</v>
      </c>
      <c r="J603" s="18">
        <f>399+399</f>
        <v>798</v>
      </c>
      <c r="K603" s="104">
        <f>SUM(H603:J603)</f>
        <v>140989.72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69131.759999999995</v>
      </c>
      <c r="I604" s="108">
        <f>SUM(I601:I603)</f>
        <v>71059.960000000006</v>
      </c>
      <c r="J604" s="108">
        <f>SUM(J601:J603)</f>
        <v>798</v>
      </c>
      <c r="K604" s="108">
        <f>SUM(K601:K603)</f>
        <v>140989.72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26712.5/2</f>
        <v>13356.25</v>
      </c>
      <c r="G610" s="18">
        <f>2043.51/2</f>
        <v>1021.755</v>
      </c>
      <c r="H610" s="18"/>
      <c r="I610" s="18"/>
      <c r="J610" s="18"/>
      <c r="K610" s="18"/>
      <c r="L610" s="88">
        <f>SUM(F610:K610)</f>
        <v>14378.004999999999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26712.5/2</f>
        <v>13356.25</v>
      </c>
      <c r="G611" s="18">
        <f>2043.51/2</f>
        <v>1021.755</v>
      </c>
      <c r="H611" s="18"/>
      <c r="I611" s="18"/>
      <c r="J611" s="18"/>
      <c r="K611" s="18"/>
      <c r="L611" s="88">
        <f>SUM(F611:K611)</f>
        <v>14378.004999999999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26712.5</v>
      </c>
      <c r="G613" s="108">
        <f t="shared" si="49"/>
        <v>2043.51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28756.01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899478.21</v>
      </c>
      <c r="H616" s="109">
        <f>SUM(F51)</f>
        <v>899478.21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151.80000000000001</v>
      </c>
      <c r="H617" s="109">
        <f>SUM(G51)</f>
        <v>151.80000000000001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66349.100000000006</v>
      </c>
      <c r="H618" s="109">
        <f>SUM(H51)</f>
        <v>66349.100000000006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985640.76</v>
      </c>
      <c r="H620" s="109">
        <f>SUM(J51)</f>
        <v>985640.76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864547.2</v>
      </c>
      <c r="H621" s="109">
        <f>F475</f>
        <v>864547.19999999925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45.42</v>
      </c>
      <c r="H622" s="109">
        <f>G475</f>
        <v>45.419999999983702</v>
      </c>
      <c r="I622" s="121" t="s">
        <v>102</v>
      </c>
      <c r="J622" s="109">
        <f t="shared" si="50"/>
        <v>1.6299850358336698E-11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66349.100000000006</v>
      </c>
      <c r="H623" s="109">
        <f>H475</f>
        <v>66349.099999999977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985640.76</v>
      </c>
      <c r="H625" s="109">
        <f>J475</f>
        <v>985640.76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17813336.739999998</v>
      </c>
      <c r="H626" s="104">
        <f>SUM(F467)</f>
        <v>17813336.739999998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298630.06</v>
      </c>
      <c r="H627" s="104">
        <f>SUM(G467)</f>
        <v>298630.06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461250.61</v>
      </c>
      <c r="H628" s="104">
        <f>SUM(H467)</f>
        <v>461250.61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115719.38</v>
      </c>
      <c r="H630" s="104">
        <f>SUM(J467)</f>
        <v>115719.38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17462600.109999999</v>
      </c>
      <c r="H631" s="104">
        <f>SUM(F471)</f>
        <v>17462600.109999999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454474.06999999989</v>
      </c>
      <c r="H632" s="104">
        <f>SUM(H471)</f>
        <v>454474.07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217.70000000000002</v>
      </c>
      <c r="H633" s="104">
        <f>I368</f>
        <v>217.69500000000002</v>
      </c>
      <c r="I633" s="143" t="s">
        <v>248</v>
      </c>
      <c r="J633" s="109">
        <f>G633-H633</f>
        <v>4.9999999999954525E-3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298229.44</v>
      </c>
      <c r="H634" s="104">
        <f>SUM(G471)</f>
        <v>298229.44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115719.38</v>
      </c>
      <c r="H636" s="164">
        <f>SUM(J467)</f>
        <v>115719.38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90001</v>
      </c>
      <c r="H637" s="164">
        <f>SUM(J471)</f>
        <v>90001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985640.76</v>
      </c>
      <c r="H638" s="104">
        <f>SUM(F460)</f>
        <v>985640.76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985640.76</v>
      </c>
      <c r="H641" s="104">
        <f>SUM(I460)</f>
        <v>985640.76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718.38</v>
      </c>
      <c r="H643" s="104">
        <f>H407</f>
        <v>718.38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115001</v>
      </c>
      <c r="H644" s="104">
        <f>G407</f>
        <v>115001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115719.38</v>
      </c>
      <c r="H645" s="104">
        <f>L407</f>
        <v>115719.38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742483.99</v>
      </c>
      <c r="H646" s="104">
        <f>L207+L225+L243</f>
        <v>742483.99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140989.72</v>
      </c>
      <c r="H647" s="104">
        <f>(J256+J337)-(J254+J335)</f>
        <v>140989.72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286529.19</v>
      </c>
      <c r="H648" s="104">
        <f>H597</f>
        <v>286529.19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255291.37</v>
      </c>
      <c r="H649" s="104">
        <f>I597</f>
        <v>255291.37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200663.43</v>
      </c>
      <c r="H650" s="104">
        <f>J597</f>
        <v>200663.43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106.38</v>
      </c>
      <c r="H651" s="104">
        <f>K262+K344</f>
        <v>106.38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 t="str">
        <f>K263</f>
        <v xml:space="preserve"> 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5.0000101327896118E-3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6287838.2966666669</v>
      </c>
      <c r="G659" s="19">
        <f>(L228+L308+L358)</f>
        <v>5677166.4466666654</v>
      </c>
      <c r="H659" s="19">
        <f>(L246+L327+L359)</f>
        <v>5109391.9066666663</v>
      </c>
      <c r="I659" s="19">
        <f>SUM(F659:H659)</f>
        <v>17074396.649999999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99776.31</v>
      </c>
      <c r="G660" s="19">
        <f>(L358/IF(SUM(L357:L359)=0,1,SUM(L357:L359))*(SUM(G96:G109)))</f>
        <v>99776.31</v>
      </c>
      <c r="H660" s="19">
        <f>(L359/IF(SUM(L357:L359)=0,1,SUM(L357:L359))*(SUM(G96:G109)))</f>
        <v>0</v>
      </c>
      <c r="I660" s="19">
        <f>SUM(F660:H660)</f>
        <v>199552.62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286529.19</v>
      </c>
      <c r="G661" s="19">
        <f>(L225+L305)-(J225+J305)</f>
        <v>255291.37</v>
      </c>
      <c r="H661" s="19">
        <f>(L243+L324)-(J243+J324)</f>
        <v>200663.43</v>
      </c>
      <c r="I661" s="19">
        <f>SUM(F661:H661)</f>
        <v>742483.99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188715.23499999999</v>
      </c>
      <c r="G662" s="200">
        <f>SUM(G574:G586)+SUM(I601:I603)+L611</f>
        <v>225645.60499999998</v>
      </c>
      <c r="H662" s="200">
        <f>SUM(H574:H586)+SUM(J601:J603)+L612</f>
        <v>4732531.96</v>
      </c>
      <c r="I662" s="19">
        <f>SUM(F662:H662)</f>
        <v>5146892.8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5712817.5616666665</v>
      </c>
      <c r="G663" s="19">
        <f>G659-SUM(G660:G662)</f>
        <v>5096453.1616666652</v>
      </c>
      <c r="H663" s="19">
        <f>H659-SUM(H660:H662)</f>
        <v>176196.5166666666</v>
      </c>
      <c r="I663" s="19">
        <f>I659-SUM(I660:I662)</f>
        <v>10985467.239999998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492.59</v>
      </c>
      <c r="G664" s="249">
        <v>447.4</v>
      </c>
      <c r="H664" s="249"/>
      <c r="I664" s="19">
        <f>SUM(F664:H664)</f>
        <v>939.99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11597.51</v>
      </c>
      <c r="G666" s="19">
        <f>ROUND(G663/G664,2)</f>
        <v>11391.27</v>
      </c>
      <c r="H666" s="19" t="e">
        <f>ROUND(H663/H664,2)</f>
        <v>#DIV/0!</v>
      </c>
      <c r="I666" s="19">
        <f>ROUND(I663/I664,2)</f>
        <v>11686.79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-176196.52</v>
      </c>
      <c r="I668" s="19">
        <f>SUM(F668:H668)</f>
        <v>-176196.52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11597.51</v>
      </c>
      <c r="G671" s="19">
        <f>ROUND((G663+G668)/(G664+G669),2)</f>
        <v>11391.27</v>
      </c>
      <c r="H671" s="19" t="e">
        <f>ROUND((H663+H668)/(H664+H669),2)</f>
        <v>#DIV/0!</v>
      </c>
      <c r="I671" s="19">
        <f>ROUND((I663+I668)/(I664+I669),2)</f>
        <v>11499.35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" right="0" top="0.75" bottom="0.75" header="0.3" footer="0.3"/>
  <pageSetup scale="75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9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3" zoomScale="120" zoomScaleNormal="120" zoomScalePageLayoutView="150" workbookViewId="0">
      <selection activeCell="B1" sqref="B1"/>
    </sheetView>
  </sheetViews>
  <sheetFormatPr defaultColWidth="9" defaultRowHeight="11.25"/>
  <cols>
    <col min="1" max="1" width="26.6640625" customWidth="1"/>
    <col min="2" max="2" width="33.83203125" customWidth="1"/>
    <col min="3" max="3" width="29.33203125" customWidth="1"/>
  </cols>
  <sheetData>
    <row r="1" spans="1:3">
      <c r="A1" s="234" t="s">
        <v>785</v>
      </c>
      <c r="B1" s="233" t="str">
        <f>'DOE25'!A2</f>
        <v xml:space="preserve">Barrington School District 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3101730.63</v>
      </c>
      <c r="C9" s="230">
        <f>'DOE25'!G196+'DOE25'!G214+'DOE25'!G232+'DOE25'!G275+'DOE25'!G294+'DOE25'!G313</f>
        <v>1477130.3499999999</v>
      </c>
    </row>
    <row r="10" spans="1:3">
      <c r="A10" t="s">
        <v>779</v>
      </c>
      <c r="B10" s="241">
        <f>96098.05+12482.84+1295238.22+1269985.97+61262</f>
        <v>2735067.08</v>
      </c>
      <c r="C10" s="241">
        <f>60+112.2+7052.49+4686.44+377381.64+2702.14+360235.66+15206.56+14923.42+1116+2842.12+156063+153721.87+113216.03+106605.79+4739.87</f>
        <v>1320665.2300000002</v>
      </c>
    </row>
    <row r="11" spans="1:3">
      <c r="A11" t="s">
        <v>780</v>
      </c>
      <c r="B11" s="241">
        <f>52736.85+15561</f>
        <v>68297.850000000006</v>
      </c>
      <c r="C11" s="241">
        <f>25472.78+4844.56+1080+2728.08+5215.59+31.58+4623.84</f>
        <v>43996.429999999993</v>
      </c>
    </row>
    <row r="12" spans="1:3">
      <c r="A12" t="s">
        <v>781</v>
      </c>
      <c r="B12" s="241">
        <f>123210+10880+82016.62+79134.08+675+2450</f>
        <v>298365.7</v>
      </c>
      <c r="C12" s="241">
        <f>52.3+51.66+8.32+181.81+187.46+52789.76+2514.06+72+264+9151.89+12398.22+19086.71+15463.78+246.72</f>
        <v>112468.69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3101730.6300000004</v>
      </c>
      <c r="C13" s="232">
        <f>SUM(C10:C12)</f>
        <v>1477130.35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1539455.6300000001</v>
      </c>
      <c r="C18" s="230">
        <f>'DOE25'!G197+'DOE25'!G215+'DOE25'!G233+'DOE25'!G276+'DOE25'!G295+'DOE25'!G314</f>
        <v>730515.29999999993</v>
      </c>
    </row>
    <row r="19" spans="1:3">
      <c r="A19" t="s">
        <v>779</v>
      </c>
      <c r="B19" s="241">
        <f>5550+1000+147373.19+249496.5+253083.23+37880.81+27000</f>
        <v>721383.73</v>
      </c>
      <c r="C19" s="241">
        <f>424.59+29277.44-2702.14+2133.16+75+256.3+16874.86+11337.3+82383.2+99540.76+4505.52+4417.1+3940.94+196.52+1098+7479.69+28702.11+30997.23+67.8+2550.75+46082.09</f>
        <v>369638.22</v>
      </c>
    </row>
    <row r="20" spans="1:3">
      <c r="A20" t="s">
        <v>780</v>
      </c>
      <c r="B20" s="241">
        <f>78142.55+343262.66+293586.03+66104.58</f>
        <v>781095.82</v>
      </c>
      <c r="C20" s="241">
        <f>6924.8+113+6054.55+116896.98+80912.1+30880.51+792+162+27776.57+315.7+32200.07+42134.92+2164.08</f>
        <v>347327.28</v>
      </c>
    </row>
    <row r="21" spans="1:3">
      <c r="A21" t="s">
        <v>781</v>
      </c>
      <c r="B21" s="241">
        <f>26712.5+5618+114+4306.58+225</f>
        <v>36976.080000000002</v>
      </c>
      <c r="C21" s="241">
        <f>1555.56+1174.08+205.08+8197.65+1184.73+1068.69+164.01</f>
        <v>13549.8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1539455.63</v>
      </c>
      <c r="C22" s="232">
        <f>SUM(C19:C21)</f>
        <v>730515.3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42700</v>
      </c>
      <c r="C36" s="236">
        <f>'DOE25'!G199+'DOE25'!G217+'DOE25'!G235+'DOE25'!G278+'DOE25'!G297+'DOE25'!G316</f>
        <v>7356.2699999999995</v>
      </c>
    </row>
    <row r="37" spans="1:3">
      <c r="A37" t="s">
        <v>779</v>
      </c>
      <c r="B37" s="241">
        <v>42700</v>
      </c>
      <c r="C37" s="241">
        <v>7356.27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 t="s">
        <v>287</v>
      </c>
      <c r="C39" s="241" t="s">
        <v>287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42700</v>
      </c>
      <c r="C40" s="232">
        <f>SUM(C37:C39)</f>
        <v>7356.27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90" zoomScaleNormal="90" zoomScalePageLayoutView="150" workbookViewId="0">
      <pane ySplit="4" topLeftCell="A8" activePane="bottomLeft" state="frozen"/>
      <selection pane="bottomLeft" activeCell="G29" sqref="G29"/>
    </sheetView>
  </sheetViews>
  <sheetFormatPr defaultColWidth="9" defaultRowHeight="11.25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 xml:space="preserve">Barrington School District 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11768818.09</v>
      </c>
      <c r="D5" s="20">
        <f>SUM('DOE25'!L196:L199)+SUM('DOE25'!L214:L217)+SUM('DOE25'!L232:L235)-F5-G5</f>
        <v>11728724.57</v>
      </c>
      <c r="E5" s="244"/>
      <c r="F5" s="256">
        <f>SUM('DOE25'!J196:J199)+SUM('DOE25'!J214:J217)+SUM('DOE25'!J232:J235)</f>
        <v>39183.520000000004</v>
      </c>
      <c r="G5" s="53">
        <f>SUM('DOE25'!K196:K199)+SUM('DOE25'!K214:K217)+SUM('DOE25'!K232:K235)</f>
        <v>910</v>
      </c>
      <c r="H5" s="260"/>
    </row>
    <row r="6" spans="1:9">
      <c r="A6" s="32">
        <v>2100</v>
      </c>
      <c r="B6" t="s">
        <v>801</v>
      </c>
      <c r="C6" s="246">
        <f t="shared" si="0"/>
        <v>1057980.54</v>
      </c>
      <c r="D6" s="20">
        <f>'DOE25'!L201+'DOE25'!L219+'DOE25'!L237-F6-G6</f>
        <v>1046496.24</v>
      </c>
      <c r="E6" s="244"/>
      <c r="F6" s="256">
        <f>'DOE25'!J201+'DOE25'!J219+'DOE25'!J237</f>
        <v>2294</v>
      </c>
      <c r="G6" s="53">
        <f>'DOE25'!K201+'DOE25'!K219+'DOE25'!K237</f>
        <v>9190.2999999999993</v>
      </c>
      <c r="H6" s="260"/>
    </row>
    <row r="7" spans="1:9">
      <c r="A7" s="32">
        <v>2200</v>
      </c>
      <c r="B7" t="s">
        <v>834</v>
      </c>
      <c r="C7" s="246">
        <f t="shared" si="0"/>
        <v>566408.74</v>
      </c>
      <c r="D7" s="20">
        <f>'DOE25'!L202+'DOE25'!L220+'DOE25'!L238-F7-G7</f>
        <v>452933.92999999993</v>
      </c>
      <c r="E7" s="244"/>
      <c r="F7" s="256">
        <f>'DOE25'!J202+'DOE25'!J220+'DOE25'!J238</f>
        <v>78906.91</v>
      </c>
      <c r="G7" s="53">
        <f>'DOE25'!K202+'DOE25'!K220+'DOE25'!K238</f>
        <v>34567.9</v>
      </c>
      <c r="H7" s="260"/>
    </row>
    <row r="8" spans="1:9">
      <c r="A8" s="32">
        <v>2300</v>
      </c>
      <c r="B8" t="s">
        <v>802</v>
      </c>
      <c r="C8" s="246">
        <f t="shared" si="0"/>
        <v>170537.40000000008</v>
      </c>
      <c r="D8" s="244"/>
      <c r="E8" s="20">
        <f>'DOE25'!L203+'DOE25'!L221+'DOE25'!L239-F8-G8-D9-D11</f>
        <v>148214.41000000009</v>
      </c>
      <c r="F8" s="256">
        <f>'DOE25'!J203+'DOE25'!J221+'DOE25'!J239</f>
        <v>8984.91</v>
      </c>
      <c r="G8" s="53">
        <f>'DOE25'!K203+'DOE25'!K221+'DOE25'!K239</f>
        <v>13338.08</v>
      </c>
      <c r="H8" s="260"/>
    </row>
    <row r="9" spans="1:9">
      <c r="A9" s="32">
        <v>2310</v>
      </c>
      <c r="B9" t="s">
        <v>818</v>
      </c>
      <c r="C9" s="246">
        <f t="shared" si="0"/>
        <v>64715.28</v>
      </c>
      <c r="D9" s="245">
        <v>64715.28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9870</v>
      </c>
      <c r="D10" s="244"/>
      <c r="E10" s="245">
        <v>9870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206841.56</v>
      </c>
      <c r="D11" s="245">
        <f>81006.32+37876.8+87958.44</f>
        <v>206841.56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654306.11999999988</v>
      </c>
      <c r="D12" s="20">
        <f>'DOE25'!L204+'DOE25'!L222+'DOE25'!L240-F12-G12</f>
        <v>638657.18999999983</v>
      </c>
      <c r="E12" s="244"/>
      <c r="F12" s="256">
        <f>'DOE25'!J204+'DOE25'!J222+'DOE25'!J240</f>
        <v>11417.5</v>
      </c>
      <c r="G12" s="53">
        <f>'DOE25'!K204+'DOE25'!K222+'DOE25'!K240</f>
        <v>4231.4299999999994</v>
      </c>
      <c r="H12" s="260"/>
    </row>
    <row r="13" spans="1:9">
      <c r="A13" s="32">
        <v>2500</v>
      </c>
      <c r="B13" t="s">
        <v>803</v>
      </c>
      <c r="C13" s="246">
        <f t="shared" si="0"/>
        <v>151820.21</v>
      </c>
      <c r="D13" s="244"/>
      <c r="E13" s="20">
        <f>'DOE25'!L205+'DOE25'!L223+'DOE25'!L241-F13-G13</f>
        <v>151820.21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944588.62999999989</v>
      </c>
      <c r="D14" s="20">
        <f>'DOE25'!L206+'DOE25'!L224+'DOE25'!L242-F14-G14</f>
        <v>944588.62999999989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742483.99</v>
      </c>
      <c r="D15" s="20">
        <f>'DOE25'!L207+'DOE25'!L225+'DOE25'!L243-F15-G15</f>
        <v>742483.99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35473.17</v>
      </c>
      <c r="D22" s="244"/>
      <c r="E22" s="244"/>
      <c r="F22" s="256">
        <f>'DOE25'!L254+'DOE25'!L335</f>
        <v>35473.17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1073520</v>
      </c>
      <c r="D25" s="244"/>
      <c r="E25" s="244"/>
      <c r="F25" s="259"/>
      <c r="G25" s="257"/>
      <c r="H25" s="258">
        <f>'DOE25'!L259+'DOE25'!L260+'DOE25'!L340+'DOE25'!L341</f>
        <v>1073520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298020.39</v>
      </c>
      <c r="D29" s="20">
        <f>'DOE25'!L357+'DOE25'!L358+'DOE25'!L359-'DOE25'!I366-F29-G29</f>
        <v>298020.39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447666.64999999991</v>
      </c>
      <c r="D31" s="20">
        <f>'DOE25'!L289+'DOE25'!L308+'DOE25'!L327+'DOE25'!L332+'DOE25'!L333+'DOE25'!L334-F31-G31</f>
        <v>447463.7699999999</v>
      </c>
      <c r="E31" s="244"/>
      <c r="F31" s="256">
        <f>'DOE25'!J289+'DOE25'!J308+'DOE25'!J327+'DOE25'!J332+'DOE25'!J333+'DOE25'!J334</f>
        <v>202.88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16570925.549999999</v>
      </c>
      <c r="E33" s="247">
        <f>SUM(E5:E31)</f>
        <v>309904.62000000011</v>
      </c>
      <c r="F33" s="247">
        <f>SUM(F5:F31)</f>
        <v>176462.89</v>
      </c>
      <c r="G33" s="247">
        <f>SUM(G5:G31)</f>
        <v>62237.71</v>
      </c>
      <c r="H33" s="247">
        <f>SUM(H5:H31)</f>
        <v>1073520</v>
      </c>
    </row>
    <row r="35" spans="2:8" ht="12" thickBot="1">
      <c r="B35" s="254" t="s">
        <v>847</v>
      </c>
      <c r="D35" s="255">
        <f>E33</f>
        <v>309904.62000000011</v>
      </c>
      <c r="E35" s="250"/>
    </row>
    <row r="36" spans="2:8" ht="12" thickTop="1">
      <c r="B36" t="s">
        <v>815</v>
      </c>
      <c r="D36" s="20">
        <f>D33</f>
        <v>16570925.549999999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5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50" zoomScaleNormal="150" zoomScalePageLayoutView="150" workbookViewId="0">
      <pane ySplit="2" topLeftCell="A112" activePane="bottomLeft" state="frozen"/>
      <selection pane="bottomLeft" activeCell="C136" sqref="C136"/>
    </sheetView>
  </sheetViews>
  <sheetFormatPr defaultColWidth="9" defaultRowHeight="11.25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 xml:space="preserve">Barrington School District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605508.16</v>
      </c>
      <c r="D8" s="95">
        <f>'DOE25'!G9</f>
        <v>151.80000000000001</v>
      </c>
      <c r="E8" s="95">
        <f>'DOE25'!H9</f>
        <v>66349.100000000006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6960.82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960640.76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227009.22999999998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25000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 t="str">
        <f>'DOE25'!F14</f>
        <v xml:space="preserve"> </v>
      </c>
      <c r="D13" s="95" t="str">
        <f>'DOE25'!G14</f>
        <v xml:space="preserve"> 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60000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899478.21</v>
      </c>
      <c r="D18" s="41">
        <f>SUM(D8:D17)</f>
        <v>151.80000000000001</v>
      </c>
      <c r="E18" s="41">
        <f>SUM(E8:E17)</f>
        <v>66349.100000000006</v>
      </c>
      <c r="F18" s="41">
        <f>SUM(F8:F17)</f>
        <v>0</v>
      </c>
      <c r="G18" s="41">
        <f>SUM(G8:G17)</f>
        <v>985640.76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106.38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26883.94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8047.07</v>
      </c>
      <c r="D23" s="95" t="str">
        <f>'DOE25'!G24</f>
        <v xml:space="preserve"> 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34931.009999999995</v>
      </c>
      <c r="D31" s="41">
        <f>SUM(D21:D30)</f>
        <v>106.38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182910.01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90001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192778.59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 t="str">
        <f>'DOE25'!G47</f>
        <v xml:space="preserve"> </v>
      </c>
      <c r="E46" s="95">
        <f>'DOE25'!H47</f>
        <v>66349.100000000006</v>
      </c>
      <c r="F46" s="95">
        <f>'DOE25'!I47</f>
        <v>0</v>
      </c>
      <c r="G46" s="95">
        <f>'DOE25'!J47</f>
        <v>985640.76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45.42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398857.60000000003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864547.2</v>
      </c>
      <c r="D49" s="41">
        <f>SUM(D34:D48)</f>
        <v>45.42</v>
      </c>
      <c r="E49" s="41">
        <f>SUM(E34:E48)</f>
        <v>66349.100000000006</v>
      </c>
      <c r="F49" s="41">
        <f>SUM(F34:F48)</f>
        <v>0</v>
      </c>
      <c r="G49" s="41">
        <f>SUM(G34:G48)</f>
        <v>985640.76</v>
      </c>
      <c r="H49" s="124"/>
      <c r="I49" s="124"/>
    </row>
    <row r="50" spans="1:9" ht="12" thickTop="1">
      <c r="A50" s="38" t="s">
        <v>895</v>
      </c>
      <c r="B50" s="2"/>
      <c r="C50" s="41">
        <f>C49+C31</f>
        <v>899478.21</v>
      </c>
      <c r="D50" s="41">
        <f>D49+D31</f>
        <v>151.80000000000001</v>
      </c>
      <c r="E50" s="41">
        <f>E49+E31</f>
        <v>66349.100000000006</v>
      </c>
      <c r="F50" s="41">
        <f>F49+F31</f>
        <v>0</v>
      </c>
      <c r="G50" s="41">
        <f>G49+G31</f>
        <v>985640.76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10813805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77298.760000000009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379.63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718.38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199552.62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207825.68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285504.07</v>
      </c>
      <c r="D61" s="130">
        <f>SUM(D56:D60)</f>
        <v>199552.62</v>
      </c>
      <c r="E61" s="130">
        <f>SUM(E56:E60)</f>
        <v>0</v>
      </c>
      <c r="F61" s="130">
        <f>SUM(F56:F60)</f>
        <v>0</v>
      </c>
      <c r="G61" s="130">
        <f>SUM(G56:G60)</f>
        <v>718.38</v>
      </c>
      <c r="H61"/>
      <c r="I61"/>
    </row>
    <row r="62" spans="1:9" ht="12" thickTop="1">
      <c r="A62" s="29" t="s">
        <v>175</v>
      </c>
      <c r="B62" s="6"/>
      <c r="C62" s="22">
        <f>C55+C61</f>
        <v>11099309.07</v>
      </c>
      <c r="D62" s="22">
        <f>D55+D61</f>
        <v>199552.62</v>
      </c>
      <c r="E62" s="22">
        <f>E55+E61</f>
        <v>0</v>
      </c>
      <c r="F62" s="22">
        <f>F55+F61</f>
        <v>0</v>
      </c>
      <c r="G62" s="22">
        <f>G55+G61</f>
        <v>718.38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3921921.92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2029330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3398.08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5954650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231529.28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93788.41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1688.96</v>
      </c>
      <c r="D76" s="95">
        <f>SUM('DOE25'!G130:G134)</f>
        <v>4089.51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327006.65000000002</v>
      </c>
      <c r="D77" s="130">
        <f>SUM(D71:D76)</f>
        <v>4089.51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6281656.6500000004</v>
      </c>
      <c r="D80" s="130">
        <f>SUM(D78:D79)+D77+D69</f>
        <v>4089.51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342370.02</v>
      </c>
      <c r="D87" s="95">
        <f>SUM('DOE25'!G152:G160)</f>
        <v>94881.55</v>
      </c>
      <c r="E87" s="95">
        <f>SUM('DOE25'!H152:H160)</f>
        <v>461250.61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342370.02</v>
      </c>
      <c r="D90" s="131">
        <f>SUM(D84:D89)</f>
        <v>94881.55</v>
      </c>
      <c r="E90" s="131">
        <f>SUM(E84:E89)</f>
        <v>461250.61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106.38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90001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90001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90001</v>
      </c>
      <c r="D102" s="86">
        <f>SUM(D92:D101)</f>
        <v>106.38</v>
      </c>
      <c r="E102" s="86">
        <f>SUM(E92:E101)</f>
        <v>0</v>
      </c>
      <c r="F102" s="86">
        <f>SUM(F92:F101)</f>
        <v>0</v>
      </c>
      <c r="G102" s="86">
        <f>SUM(G92:G101)</f>
        <v>115001</v>
      </c>
    </row>
    <row r="103" spans="1:7" ht="12.75" thickTop="1" thickBot="1">
      <c r="A103" s="33" t="s">
        <v>765</v>
      </c>
      <c r="C103" s="86">
        <f>C62+C80+C90+C102</f>
        <v>17813336.739999998</v>
      </c>
      <c r="D103" s="86">
        <f>D62+D80+D90+D102</f>
        <v>298630.06</v>
      </c>
      <c r="E103" s="86">
        <f>E62+E80+E90+E102</f>
        <v>461250.61</v>
      </c>
      <c r="F103" s="86">
        <f>F62+F80+F90+F102</f>
        <v>0</v>
      </c>
      <c r="G103" s="86">
        <f>G62+G80+G102</f>
        <v>115719.38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9049510.6499999985</v>
      </c>
      <c r="D108" s="24" t="s">
        <v>289</v>
      </c>
      <c r="E108" s="95">
        <f>('DOE25'!L275)+('DOE25'!L294)+('DOE25'!L313)</f>
        <v>94739.62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2657925.69</v>
      </c>
      <c r="D109" s="24" t="s">
        <v>289</v>
      </c>
      <c r="E109" s="95">
        <f>('DOE25'!L276)+('DOE25'!L295)+('DOE25'!L314)</f>
        <v>332259.31999999995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61381.75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11768818.089999998</v>
      </c>
      <c r="D114" s="86">
        <f>SUM(D108:D113)</f>
        <v>0</v>
      </c>
      <c r="E114" s="86">
        <f>SUM(E108:E113)</f>
        <v>426998.93999999994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1057980.54</v>
      </c>
      <c r="D117" s="24" t="s">
        <v>289</v>
      </c>
      <c r="E117" s="95">
        <f>+('DOE25'!L280)+('DOE25'!L299)+('DOE25'!L318)</f>
        <v>179.25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566408.74</v>
      </c>
      <c r="D118" s="24" t="s">
        <v>289</v>
      </c>
      <c r="E118" s="95">
        <f>+('DOE25'!L281)+('DOE25'!L300)+('DOE25'!L319)</f>
        <v>20488.46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442094.24000000005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654306.11999999988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151820.21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944588.62999999989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742483.99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298229.44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4559682.47</v>
      </c>
      <c r="D127" s="86">
        <f>SUM(D117:D126)</f>
        <v>298229.44</v>
      </c>
      <c r="E127" s="86">
        <f>SUM(E117:E126)</f>
        <v>20667.71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35473.17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710000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363520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6807.420000000001</v>
      </c>
      <c r="F133" s="95">
        <f>'DOE25'!K380</f>
        <v>0</v>
      </c>
      <c r="G133" s="95">
        <f>'DOE25'!K433</f>
        <v>90001</v>
      </c>
    </row>
    <row r="134" spans="1:7">
      <c r="A134" t="s">
        <v>233</v>
      </c>
      <c r="B134" s="32" t="s">
        <v>234</v>
      </c>
      <c r="C134" s="95">
        <f>'DOE25'!L262</f>
        <v>106.38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718.38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115001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-90719.38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1134099.5499999998</v>
      </c>
      <c r="D143" s="141">
        <f>SUM(D129:D142)</f>
        <v>0</v>
      </c>
      <c r="E143" s="141">
        <f>SUM(E129:E142)</f>
        <v>6807.420000000001</v>
      </c>
      <c r="F143" s="141">
        <f>SUM(F129:F142)</f>
        <v>0</v>
      </c>
      <c r="G143" s="141">
        <f>SUM(G129:G142)</f>
        <v>90001</v>
      </c>
    </row>
    <row r="144" spans="1:7" ht="12.75" thickTop="1" thickBot="1">
      <c r="A144" s="33" t="s">
        <v>244</v>
      </c>
      <c r="C144" s="86">
        <f>(C114+C127+C143)</f>
        <v>17462600.109999999</v>
      </c>
      <c r="D144" s="86">
        <f>(D114+D127+D143)</f>
        <v>298229.44</v>
      </c>
      <c r="E144" s="86">
        <f>(E114+E127+E143)</f>
        <v>454474.06999999995</v>
      </c>
      <c r="F144" s="86">
        <f>(F114+F127+F143)</f>
        <v>0</v>
      </c>
      <c r="G144" s="86">
        <f>(G114+G127+G143)</f>
        <v>90001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12/02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10/22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14144129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7810000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7810000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710000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710000</v>
      </c>
    </row>
    <row r="158" spans="1:9">
      <c r="A158" s="22" t="s">
        <v>35</v>
      </c>
      <c r="B158" s="137">
        <f>'DOE25'!F497</f>
        <v>7100000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7100000</v>
      </c>
    </row>
    <row r="159" spans="1:9">
      <c r="A159" s="22" t="s">
        <v>36</v>
      </c>
      <c r="B159" s="137">
        <f>'DOE25'!F498</f>
        <v>2377594.7000000002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2377594.7000000002</v>
      </c>
    </row>
    <row r="160" spans="1:9">
      <c r="A160" s="22" t="s">
        <v>37</v>
      </c>
      <c r="B160" s="137">
        <f>'DOE25'!F499</f>
        <v>9477594.6999999993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9477594.6999999993</v>
      </c>
    </row>
    <row r="161" spans="1:7">
      <c r="A161" s="22" t="s">
        <v>38</v>
      </c>
      <c r="B161" s="137">
        <f>'DOE25'!F500</f>
        <v>710000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710000</v>
      </c>
    </row>
    <row r="162" spans="1:7">
      <c r="A162" s="22" t="s">
        <v>39</v>
      </c>
      <c r="B162" s="137">
        <f>'DOE25'!F501</f>
        <v>334410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334410</v>
      </c>
    </row>
    <row r="163" spans="1:7">
      <c r="A163" s="22" t="s">
        <v>246</v>
      </c>
      <c r="B163" s="137">
        <f>'DOE25'!F502</f>
        <v>1044410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1044410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zoomScale="150" zoomScaleNormal="150" zoomScalePageLayoutView="150" workbookViewId="0">
      <selection activeCell="C3" sqref="C3"/>
    </sheetView>
  </sheetViews>
  <sheetFormatPr defaultColWidth="9"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 xml:space="preserve">Barrington School District 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11598</v>
      </c>
    </row>
    <row r="5" spans="1:4">
      <c r="B5" t="s">
        <v>704</v>
      </c>
      <c r="C5" s="179">
        <f>IF('DOE25'!G664+'DOE25'!G669=0,0,ROUND('DOE25'!G671,0))</f>
        <v>11391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11499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9144250</v>
      </c>
      <c r="D10" s="182">
        <f>ROUND((C10/$C$28)*100,1)</f>
        <v>53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2990185</v>
      </c>
      <c r="D11" s="182">
        <f>ROUND((C11/$C$28)*100,1)</f>
        <v>17.3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61382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1058160</v>
      </c>
      <c r="D15" s="182">
        <f t="shared" ref="D15:D27" si="0">ROUND((C15/$C$28)*100,1)</f>
        <v>6.1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586897</v>
      </c>
      <c r="D16" s="182">
        <f t="shared" si="0"/>
        <v>3.4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442094</v>
      </c>
      <c r="D17" s="182">
        <f t="shared" si="0"/>
        <v>2.6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654306</v>
      </c>
      <c r="D18" s="182">
        <f t="shared" si="0"/>
        <v>3.8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151820</v>
      </c>
      <c r="D19" s="182">
        <f t="shared" si="0"/>
        <v>0.9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944589</v>
      </c>
      <c r="D20" s="182">
        <f t="shared" si="0"/>
        <v>5.5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742484</v>
      </c>
      <c r="D21" s="182">
        <f t="shared" si="0"/>
        <v>4.3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363520</v>
      </c>
      <c r="D25" s="182">
        <f t="shared" si="0"/>
        <v>2.1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98676.38</v>
      </c>
      <c r="D27" s="182">
        <f t="shared" si="0"/>
        <v>0.6</v>
      </c>
    </row>
    <row r="28" spans="1:4">
      <c r="B28" s="187" t="s">
        <v>723</v>
      </c>
      <c r="C28" s="180">
        <f>SUM(C10:C27)</f>
        <v>17238363.379999999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35473</v>
      </c>
    </row>
    <row r="30" spans="1:4">
      <c r="B30" s="187" t="s">
        <v>729</v>
      </c>
      <c r="C30" s="180">
        <f>SUM(C28:C29)</f>
        <v>17273836.379999999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710000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10813805</v>
      </c>
      <c r="D35" s="182">
        <f t="shared" ref="D35:D40" si="1">ROUND((C35/$C$41)*100,1)</f>
        <v>59.1</v>
      </c>
    </row>
    <row r="36" spans="1:4">
      <c r="B36" s="185" t="s">
        <v>743</v>
      </c>
      <c r="C36" s="179">
        <f>SUM('DOE25'!F111:J111)-SUM('DOE25'!G96:G109)+('DOE25'!F173+'DOE25'!F174+'DOE25'!I173+'DOE25'!I174)-C35</f>
        <v>286222.45000000112</v>
      </c>
      <c r="D36" s="182">
        <f t="shared" si="1"/>
        <v>1.6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5954650</v>
      </c>
      <c r="D37" s="182">
        <f t="shared" si="1"/>
        <v>32.6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331096</v>
      </c>
      <c r="D38" s="182">
        <f t="shared" si="1"/>
        <v>1.8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898502</v>
      </c>
      <c r="D39" s="182">
        <f t="shared" si="1"/>
        <v>4.9000000000000004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18284275.450000003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0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 xml:space="preserve">Barrington School District 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2012-10-31T14:56:11Z</cp:lastPrinted>
  <dcterms:created xsi:type="dcterms:W3CDTF">1997-12-04T19:04:30Z</dcterms:created>
  <dcterms:modified xsi:type="dcterms:W3CDTF">2012-11-28T13:33:18Z</dcterms:modified>
</cp:coreProperties>
</file>