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40" i="2" l="1"/>
  <c r="D39" i="2"/>
  <c r="G654" i="1" l="1"/>
  <c r="F47" i="2" l="1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D6" i="13" s="1"/>
  <c r="C6" i="13" s="1"/>
  <c r="G6" i="13"/>
  <c r="L201" i="1"/>
  <c r="L219" i="1"/>
  <c r="L237" i="1"/>
  <c r="F7" i="13"/>
  <c r="G7" i="13"/>
  <c r="L202" i="1"/>
  <c r="L220" i="1"/>
  <c r="L238" i="1"/>
  <c r="F12" i="13"/>
  <c r="G12" i="13"/>
  <c r="L204" i="1"/>
  <c r="C120" i="2" s="1"/>
  <c r="L222" i="1"/>
  <c r="L240" i="1"/>
  <c r="F14" i="13"/>
  <c r="G14" i="13"/>
  <c r="L206" i="1"/>
  <c r="L224" i="1"/>
  <c r="L242" i="1"/>
  <c r="F15" i="13"/>
  <c r="G15" i="13"/>
  <c r="L207" i="1"/>
  <c r="L225" i="1"/>
  <c r="L243" i="1"/>
  <c r="C21" i="10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G31" i="13"/>
  <c r="L275" i="1"/>
  <c r="L276" i="1"/>
  <c r="E109" i="2" s="1"/>
  <c r="L277" i="1"/>
  <c r="L278" i="1"/>
  <c r="L280" i="1"/>
  <c r="E117" i="2" s="1"/>
  <c r="L281" i="1"/>
  <c r="E118" i="2" s="1"/>
  <c r="L282" i="1"/>
  <c r="L283" i="1"/>
  <c r="L284" i="1"/>
  <c r="L285" i="1"/>
  <c r="E122" i="2" s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5" i="10"/>
  <c r="C19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1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E31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D61" i="2" s="1"/>
  <c r="D62" i="2" s="1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10" i="2"/>
  <c r="E110" i="2"/>
  <c r="E111" i="2"/>
  <c r="C112" i="2"/>
  <c r="E112" i="2"/>
  <c r="C113" i="2"/>
  <c r="E113" i="2"/>
  <c r="D114" i="2"/>
  <c r="F114" i="2"/>
  <c r="G114" i="2"/>
  <c r="C117" i="2"/>
  <c r="C118" i="2"/>
  <c r="E119" i="2"/>
  <c r="E120" i="2"/>
  <c r="C121" i="2"/>
  <c r="E121" i="2"/>
  <c r="C122" i="2"/>
  <c r="E123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K256" i="1" s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G407" i="1" s="1"/>
  <c r="H644" i="1" s="1"/>
  <c r="H392" i="1"/>
  <c r="I392" i="1"/>
  <c r="F400" i="1"/>
  <c r="G400" i="1"/>
  <c r="H400" i="1"/>
  <c r="I400" i="1"/>
  <c r="F406" i="1"/>
  <c r="G406" i="1"/>
  <c r="H406" i="1"/>
  <c r="I406" i="1"/>
  <c r="F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I445" i="1"/>
  <c r="G641" i="1" s="1"/>
  <c r="F451" i="1"/>
  <c r="G451" i="1"/>
  <c r="H451" i="1"/>
  <c r="I451" i="1"/>
  <c r="F459" i="1"/>
  <c r="F460" i="1" s="1"/>
  <c r="H638" i="1" s="1"/>
  <c r="G459" i="1"/>
  <c r="H459" i="1"/>
  <c r="I459" i="1"/>
  <c r="I460" i="1" s="1"/>
  <c r="H641" i="1" s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G638" i="1"/>
  <c r="H639" i="1"/>
  <c r="G640" i="1"/>
  <c r="H640" i="1"/>
  <c r="G642" i="1"/>
  <c r="H642" i="1"/>
  <c r="G643" i="1"/>
  <c r="G644" i="1"/>
  <c r="G648" i="1"/>
  <c r="G649" i="1"/>
  <c r="H649" i="1"/>
  <c r="J649" i="1" s="1"/>
  <c r="G651" i="1"/>
  <c r="H651" i="1"/>
  <c r="J651" i="1"/>
  <c r="G652" i="1"/>
  <c r="H652" i="1"/>
  <c r="J652" i="1" s="1"/>
  <c r="G653" i="1"/>
  <c r="H653" i="1"/>
  <c r="J653" i="1" s="1"/>
  <c r="H654" i="1"/>
  <c r="F191" i="1"/>
  <c r="L255" i="1"/>
  <c r="G163" i="2"/>
  <c r="G159" i="2"/>
  <c r="F31" i="2"/>
  <c r="C26" i="10"/>
  <c r="L327" i="1"/>
  <c r="L350" i="1"/>
  <c r="A31" i="12"/>
  <c r="A40" i="12"/>
  <c r="G8" i="2"/>
  <c r="G161" i="2"/>
  <c r="E49" i="2"/>
  <c r="D18" i="13"/>
  <c r="C18" i="13" s="1"/>
  <c r="F102" i="2"/>
  <c r="E18" i="2"/>
  <c r="D17" i="13"/>
  <c r="C17" i="13" s="1"/>
  <c r="G158" i="2"/>
  <c r="G80" i="2"/>
  <c r="F77" i="2"/>
  <c r="F80" i="2" s="1"/>
  <c r="F61" i="2"/>
  <c r="F62" i="2" s="1"/>
  <c r="D31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31" i="2"/>
  <c r="G61" i="2"/>
  <c r="D19" i="13"/>
  <c r="C19" i="13" s="1"/>
  <c r="D14" i="13"/>
  <c r="C14" i="13" s="1"/>
  <c r="E13" i="13"/>
  <c r="C13" i="13" s="1"/>
  <c r="I662" i="1" l="1"/>
  <c r="F544" i="1"/>
  <c r="L523" i="1"/>
  <c r="L544" i="1" s="1"/>
  <c r="J641" i="1"/>
  <c r="D126" i="2"/>
  <c r="D127" i="2" s="1"/>
  <c r="D144" i="2" s="1"/>
  <c r="H660" i="1"/>
  <c r="L361" i="1"/>
  <c r="G660" i="1"/>
  <c r="I660" i="1" s="1"/>
  <c r="D29" i="13"/>
  <c r="C29" i="13" s="1"/>
  <c r="C20" i="10"/>
  <c r="C16" i="10"/>
  <c r="J337" i="1"/>
  <c r="J351" i="1" s="1"/>
  <c r="L289" i="1"/>
  <c r="C11" i="10"/>
  <c r="F31" i="13"/>
  <c r="E108" i="2"/>
  <c r="E114" i="2" s="1"/>
  <c r="K270" i="1"/>
  <c r="I256" i="1"/>
  <c r="I270" i="1" s="1"/>
  <c r="G650" i="1"/>
  <c r="J650" i="1" s="1"/>
  <c r="H646" i="1"/>
  <c r="H661" i="1"/>
  <c r="I661" i="1" s="1"/>
  <c r="D15" i="13"/>
  <c r="C15" i="13" s="1"/>
  <c r="C123" i="2"/>
  <c r="C127" i="2" s="1"/>
  <c r="G256" i="1"/>
  <c r="G270" i="1" s="1"/>
  <c r="F256" i="1"/>
  <c r="F270" i="1" s="1"/>
  <c r="L246" i="1"/>
  <c r="H659" i="1" s="1"/>
  <c r="C109" i="2"/>
  <c r="C10" i="10"/>
  <c r="J648" i="1"/>
  <c r="D12" i="13"/>
  <c r="C12" i="13" s="1"/>
  <c r="C18" i="10"/>
  <c r="G33" i="13"/>
  <c r="C17" i="10"/>
  <c r="E8" i="13"/>
  <c r="C8" i="13" s="1"/>
  <c r="D7" i="13"/>
  <c r="C7" i="13" s="1"/>
  <c r="C111" i="2"/>
  <c r="A22" i="12"/>
  <c r="C108" i="2"/>
  <c r="L210" i="1"/>
  <c r="C90" i="2"/>
  <c r="E90" i="2"/>
  <c r="C77" i="2"/>
  <c r="C80" i="2" s="1"/>
  <c r="F139" i="1"/>
  <c r="C61" i="2"/>
  <c r="C62" i="2" s="1"/>
  <c r="H51" i="1"/>
  <c r="H618" i="1" s="1"/>
  <c r="J618" i="1" s="1"/>
  <c r="D50" i="2"/>
  <c r="G51" i="1"/>
  <c r="H617" i="1" s="1"/>
  <c r="D18" i="2"/>
  <c r="C18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C23" i="10"/>
  <c r="F168" i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K551" i="1" s="1"/>
  <c r="F143" i="2"/>
  <c r="F144" i="2" s="1"/>
  <c r="C27" i="10" l="1"/>
  <c r="C28" i="10" s="1"/>
  <c r="C30" i="10" s="1"/>
  <c r="G634" i="1"/>
  <c r="J634" i="1" s="1"/>
  <c r="F659" i="1"/>
  <c r="F663" i="1" s="1"/>
  <c r="F671" i="1" s="1"/>
  <c r="C4" i="10" s="1"/>
  <c r="H647" i="1"/>
  <c r="J647" i="1" s="1"/>
  <c r="H663" i="1"/>
  <c r="H666" i="1" s="1"/>
  <c r="C114" i="2"/>
  <c r="L256" i="1"/>
  <c r="L270" i="1" s="1"/>
  <c r="G631" i="1" s="1"/>
  <c r="J631" i="1" s="1"/>
  <c r="C39" i="10"/>
  <c r="H192" i="1"/>
  <c r="G628" i="1" s="1"/>
  <c r="J628" i="1" s="1"/>
  <c r="C38" i="10"/>
  <c r="C103" i="2"/>
  <c r="C36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F666" i="1" l="1"/>
  <c r="H671" i="1"/>
  <c r="D27" i="10"/>
  <c r="D21" i="10"/>
  <c r="D20" i="10"/>
  <c r="D23" i="10"/>
  <c r="D16" i="10"/>
  <c r="D22" i="10"/>
  <c r="D18" i="10"/>
  <c r="D17" i="10"/>
  <c r="D12" i="10"/>
  <c r="D19" i="10"/>
  <c r="D11" i="10"/>
  <c r="D25" i="10"/>
  <c r="D10" i="10"/>
  <c r="D13" i="10"/>
  <c r="D26" i="10"/>
  <c r="D24" i="10"/>
  <c r="D15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 l="1"/>
  <c r="D28" i="10"/>
  <c r="D35" i="10"/>
  <c r="D37" i="10"/>
  <c r="D38" i="10"/>
  <c r="D36" i="10"/>
  <c r="D40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<sst xmlns="http://schemas.openxmlformats.org/spreadsheetml/2006/main" count="3945" uniqueCount="912">
  <si>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</si>
  <si>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</si>
  <si>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</si>
  <si>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</si>
  <si>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</si>
  <si>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</si>
  <si>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</si>
  <si>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</si>
  <si>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</si>
  <si>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</si>
  <si>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</si>
  <si>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</si>
  <si>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</si>
  <si>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</si>
  <si>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</si>
  <si>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</si>
  <si>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</si>
  <si>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</si>
  <si>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</si>
  <si>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</si>
  <si>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</si>
  <si>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</si>
  <si>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</si>
  <si>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</si>
  <si>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</si>
  <si>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</si>
  <si>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</si>
  <si>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</si>
  <si>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</si>
  <si>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</si>
  <si>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</si>
  <si>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</si>
  <si>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</si>
  <si>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</si>
  <si>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</si>
  <si>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</si>
  <si>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</si>
  <si>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</si>
  <si>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</si>
  <si>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</si>
  <si>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</si>
  <si>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</si>
  <si>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</si>
  <si>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</si>
  <si>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</si>
  <si>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</si>
  <si>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</si>
  <si>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</si>
  <si>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</si>
  <si>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</si>
  <si>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</si>
  <si>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</si>
  <si>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</si>
  <si>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</si>
  <si>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</si>
  <si>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</si>
  <si>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</si>
  <si>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</si>
  <si>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</si>
  <si>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</si>
  <si>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</si>
  <si>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</si>
  <si>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</si>
  <si>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</si>
  <si>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</si>
  <si>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</si>
  <si>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</si>
  <si>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</si>
  <si>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</si>
  <si>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</si>
  <si>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</si>
  <si>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</si>
  <si>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</si>
  <si>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</si>
  <si>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</si>
  <si>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</si>
  <si>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</si>
  <si>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</si>
  <si>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</si>
  <si>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</si>
  <si>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</si>
  <si>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</si>
  <si>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</si>
  <si>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</si>
  <si>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</si>
  <si>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</si>
  <si>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</si>
  <si>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</si>
  <si>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</si>
  <si>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</si>
  <si>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</si>
  <si>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</si>
  <si>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</si>
  <si>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</si>
  <si>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</si>
  <si>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</si>
  <si>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</si>
  <si>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</si>
  <si>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</si>
  <si>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</si>
  <si>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</si>
  <si>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</si>
  <si>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</si>
  <si>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</si>
  <si>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</si>
  <si>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</si>
  <si>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</si>
  <si>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</si>
  <si>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</si>
  <si>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</si>
  <si>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</si>
  <si>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</si>
  <si>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</si>
  <si>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</si>
  <si>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</si>
  <si>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</si>
  <si>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</si>
  <si>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</si>
  <si>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</si>
  <si>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</si>
  <si>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</si>
  <si>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</si>
  <si>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</si>
  <si>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</si>
  <si>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</si>
  <si>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</si>
  <si>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</si>
  <si>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</si>
  <si>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</si>
  <si>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</si>
  <si>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</si>
  <si>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</si>
  <si>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</si>
  <si>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</si>
  <si>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</si>
  <si>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</si>
  <si>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</si>
  <si>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</si>
  <si>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</si>
  <si>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</si>
  <si>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</si>
  <si>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</si>
  <si>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</si>
  <si>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</si>
  <si>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</si>
  <si>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</si>
  <si>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</si>
  <si>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</si>
  <si>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</si>
  <si>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</si>
  <si>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</si>
  <si>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</si>
  <si>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</si>
  <si>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</si>
  <si>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</si>
  <si>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</si>
  <si>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</si>
  <si>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</si>
  <si>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</si>
  <si>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</si>
  <si>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</si>
  <si>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</si>
  <si>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</si>
  <si>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</si>
  <si>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</si>
  <si>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</si>
  <si>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</si>
  <si>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</si>
  <si>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</si>
  <si>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</si>
  <si>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</si>
  <si>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</si>
  <si>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</si>
  <si>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</si>
  <si>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</si>
  <si>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</si>
  <si>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</si>
  <si>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</si>
  <si>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</si>
  <si>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</si>
  <si>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</si>
  <si>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</si>
  <si>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</si>
  <si>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</si>
  <si>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</si>
  <si>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</si>
  <si>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</si>
  <si>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</si>
  <si>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</si>
  <si>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</si>
  <si>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</si>
  <si>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</si>
  <si>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</si>
  <si>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</si>
  <si>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</si>
  <si>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</si>
  <si>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</si>
  <si>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</si>
  <si>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</si>
  <si>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</si>
  <si>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</si>
  <si>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</si>
  <si>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</si>
  <si>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</si>
  <si>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</si>
  <si>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</si>
  <si>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</si>
  <si>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</si>
  <si>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</si>
  <si>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</si>
  <si>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</si>
  <si>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</si>
  <si>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</si>
  <si>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</si>
  <si>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</si>
  <si>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</si>
  <si>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</si>
  <si>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</si>
  <si>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</si>
  <si>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</si>
  <si>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</si>
  <si>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</si>
  <si>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</si>
  <si>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</si>
  <si>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</si>
  <si>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</si>
  <si>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</si>
  <si>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</si>
  <si>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</si>
  <si>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</si>
  <si>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</si>
  <si>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</si>
  <si>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</si>
  <si>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</si>
  <si>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</si>
  <si>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</si>
  <si>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</si>
  <si>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</si>
  <si>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</si>
  <si>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</si>
  <si>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</si>
  <si>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</si>
  <si>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</si>
  <si>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</si>
  <si>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</si>
  <si>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</si>
  <si>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</si>
  <si>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</si>
  <si>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</si>
  <si>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</si>
  <si>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</si>
  <si>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</si>
  <si>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</si>
  <si>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</si>
  <si>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</si>
  <si>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</si>
  <si>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</si>
  <si>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</si>
  <si>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</si>
  <si>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</si>
  <si>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</si>
  <si>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</si>
  <si>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</si>
  <si>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</si>
  <si>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</si>
  <si>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</si>
  <si>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</si>
  <si>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</si>
  <si>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</si>
  <si>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</si>
  <si>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</si>
  <si>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</si>
  <si>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</si>
  <si>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</si>
  <si>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</si>
  <si>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</si>
  <si>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</si>
  <si>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</si>
  <si>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</si>
  <si>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</si>
  <si>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</si>
  <si>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</si>
  <si>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</si>
  <si>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</si>
  <si>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</si>
  <si>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</si>
  <si>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</si>
  <si>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</si>
  <si>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</si>
  <si>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</si>
  <si>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</si>
  <si>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</si>
  <si>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</si>
  <si>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</si>
  <si>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</si>
  <si>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</si>
  <si>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</si>
  <si>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</si>
  <si>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</si>
  <si>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</si>
  <si>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</si>
  <si>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</si>
  <si>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</si>
  <si>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</si>
  <si>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</si>
  <si>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</si>
  <si>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</si>
  <si>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</si>
  <si>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</si>
  <si>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</si>
  <si>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</si>
  <si>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</si>
  <si>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</si>
  <si>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</si>
  <si>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</si>
  <si>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</si>
  <si>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</si>
  <si>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</si>
  <si>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</si>
  <si>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</si>
  <si>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</si>
  <si>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</si>
  <si>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</si>
  <si>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</si>
  <si>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</si>
  <si>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</si>
  <si>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</si>
  <si>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</si>
  <si>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</si>
  <si>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</si>
  <si>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</si>
  <si>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</si>
  <si>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</si>
  <si>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</si>
  <si>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</si>
  <si>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</si>
  <si>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</si>
  <si>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</si>
  <si>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</si>
  <si>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</si>
  <si>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</si>
  <si>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</si>
  <si>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</si>
  <si>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</si>
  <si>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</si>
  <si>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</si>
  <si>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</si>
  <si>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</si>
  <si>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</si>
  <si>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</si>
  <si>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</si>
  <si>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</si>
  <si>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</si>
  <si>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</si>
  <si>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</si>
  <si>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</si>
  <si>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</si>
  <si>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</si>
  <si>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</si>
  <si>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</si>
  <si>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</si>
  <si>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</si>
  <si>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</si>
  <si>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</si>
  <si>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</si>
  <si>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</si>
  <si>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</si>
  <si>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</si>
  <si>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</si>
  <si>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</si>
  <si>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</si>
  <si>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</si>
  <si>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</si>
  <si>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</si>
  <si>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</si>
  <si>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</si>
  <si>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</si>
  <si>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</si>
  <si>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</si>
  <si>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</si>
  <si>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</si>
  <si>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</si>
  <si>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</si>
  <si>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</si>
  <si>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</si>
  <si>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</si>
  <si>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</si>
  <si>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</si>
  <si>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</si>
  <si>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</si>
  <si>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</si>
  <si>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</si>
  <si>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</si>
  <si>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</si>
  <si>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</si>
  <si>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</si>
  <si>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</si>
  <si>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</si>
  <si>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</si>
  <si>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</si>
  <si>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</si>
  <si>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</si>
  <si>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</si>
  <si>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</si>
  <si>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</si>
  <si>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</si>
  <si>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</si>
  <si>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</si>
  <si>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</si>
  <si>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</si>
  <si>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</si>
  <si>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</si>
  <si>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</si>
  <si>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</si>
  <si>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</si>
  <si>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</si>
  <si>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</si>
  <si>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</si>
  <si>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</si>
  <si>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</si>
  <si>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</si>
  <si>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</si>
  <si>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</si>
  <si>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</si>
  <si>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</si>
  <si>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</si>
  <si>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</si>
  <si>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</si>
  <si>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</si>
  <si>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</si>
  <si>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</si>
  <si>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</si>
  <si>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</si>
  <si>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</si>
  <si>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</si>
  <si>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</si>
  <si>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</si>
  <si>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</si>
  <si>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</si>
  <si>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</si>
  <si>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</si>
  <si>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</si>
  <si>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</si>
  <si>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</si>
  <si>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</si>
  <si>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</si>
  <si>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</si>
  <si>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</si>
  <si>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</si>
  <si>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</si>
  <si>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</si>
  <si>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</si>
  <si>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</si>
  <si>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</si>
  <si>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</si>
  <si>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</si>
  <si>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</si>
  <si>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</si>
  <si>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</si>
  <si>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</si>
  <si>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</si>
  <si>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</si>
  <si>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</si>
  <si>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</si>
  <si>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</si>
  <si>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</si>
  <si>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</si>
  <si>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</si>
  <si>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</si>
  <si>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</si>
  <si>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</si>
  <si>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</si>
  <si>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</si>
  <si>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</si>
  <si>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</si>
  <si>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</si>
  <si>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</si>
  <si>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</si>
  <si>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</si>
  <si>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</si>
  <si>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</si>
  <si>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</si>
  <si>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</si>
  <si>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</si>
  <si>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</si>
  <si>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</si>
  <si>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</si>
  <si>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</si>
  <si>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</si>
  <si>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</si>
  <si>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</si>
  <si>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</si>
  <si>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</si>
  <si>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</si>
  <si>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</si>
  <si>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</si>
  <si>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</si>
  <si>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</si>
  <si>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</si>
  <si>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</si>
  <si>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</si>
  <si>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</si>
  <si>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</si>
  <si>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</si>
  <si>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</si>
  <si>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</si>
  <si>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</si>
  <si>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</si>
  <si>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</si>
  <si>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</si>
  <si>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</si>
  <si>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</si>
  <si>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</si>
  <si>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</si>
  <si>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</si>
  <si>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</si>
  <si>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</si>
  <si>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</si>
  <si>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</si>
  <si>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</si>
  <si>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</si>
  <si>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</si>
  <si>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</si>
  <si>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</si>
  <si>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</si>
  <si>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</si>
  <si>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</si>
  <si>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</si>
  <si>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</si>
  <si>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</si>
  <si>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</si>
  <si>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</si>
  <si>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</si>
  <si>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</si>
  <si>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</si>
  <si>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</si>
  <si>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</si>
  <si>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</si>
  <si>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</si>
  <si>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</si>
  <si>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</si>
  <si>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</si>
  <si>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</si>
  <si>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</si>
  <si>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</si>
  <si>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</si>
  <si>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</si>
  <si>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</si>
  <si>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</si>
  <si>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</si>
  <si>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</si>
  <si>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</si>
  <si>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</si>
  <si>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</si>
  <si>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</si>
  <si>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</si>
  <si>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</si>
  <si>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</si>
  <si>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</si>
  <si>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</si>
  <si>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</si>
  <si>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</si>
  <si>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</si>
  <si>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</si>
  <si>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</si>
  <si>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</si>
  <si>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</si>
  <si>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</si>
  <si>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</si>
  <si>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</si>
  <si>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</si>
  <si>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</si>
  <si>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</si>
  <si>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</si>
  <si>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</si>
  <si>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</si>
  <si>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</si>
  <si>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</si>
  <si>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</si>
  <si>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</si>
  <si>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</si>
  <si>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</si>
  <si>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</si>
  <si>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</si>
  <si>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</si>
  <si>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</si>
  <si>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</si>
  <si>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</si>
  <si>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</si>
  <si>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</si>
  <si>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</si>
  <si>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</si>
  <si>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</si>
  <si>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</si>
  <si>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</si>
  <si>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</si>
  <si>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</si>
  <si>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</si>
  <si>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</si>
  <si>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</si>
  <si>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</si>
  <si>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</si>
  <si>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</si>
  <si>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</si>
  <si>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</si>
  <si>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</si>
  <si>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</si>
  <si>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</si>
  <si>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</si>
  <si>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</si>
  <si>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</si>
  <si>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</si>
  <si>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</si>
  <si>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</si>
  <si>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</si>
  <si>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</si>
  <si>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</si>
  <si>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</si>
  <si>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</si>
  <si>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</si>
  <si>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</si>
  <si>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</si>
  <si>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</si>
  <si>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</si>
  <si>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</si>
  <si>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</si>
  <si>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</si>
  <si>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</si>
  <si>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</si>
  <si>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</si>
  <si>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</si>
  <si>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</si>
  <si>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</si>
  <si>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</si>
  <si>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</si>
  <si>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</si>
  <si>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</si>
  <si>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</si>
  <si>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</si>
  <si>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</si>
  <si>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</si>
  <si>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</si>
  <si>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</si>
  <si>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</si>
  <si>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</si>
  <si>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</si>
  <si>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</si>
  <si>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</si>
  <si>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</si>
  <si>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</si>
  <si>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</si>
  <si>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</si>
  <si>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</si>
  <si>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</si>
  <si>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</si>
  <si>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</si>
  <si>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</si>
  <si>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</si>
  <si>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</si>
  <si>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</si>
  <si>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</si>
  <si>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</si>
  <si>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</si>
  <si>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</si>
  <si>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</si>
  <si>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</si>
  <si>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</si>
  <si>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</si>
  <si>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</si>
  <si>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</si>
  <si>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</si>
  <si>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</si>
  <si>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</si>
  <si>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</si>
  <si>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</si>
  <si>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</si>
  <si>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</si>
  <si>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</si>
  <si>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</si>
  <si>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</si>
  <si>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</si>
  <si>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</si>
  <si>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</si>
  <si>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</si>
  <si>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</si>
  <si>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</si>
  <si>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</si>
  <si>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</si>
  <si>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</si>
  <si>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</si>
  <si>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</si>
  <si>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</si>
  <si>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</si>
  <si>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</si>
  <si>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</si>
  <si>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</si>
  <si>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</si>
  <si>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</si>
  <si>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</si>
  <si>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</si>
  <si>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</si>
  <si>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</si>
  <si>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</si>
  <si>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</si>
  <si>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</si>
  <si>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</si>
  <si>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</si>
  <si>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</si>
  <si>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</si>
  <si>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</si>
  <si>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</si>
  <si>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</si>
  <si>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</si>
  <si>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</si>
  <si>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</si>
  <si>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</si>
  <si>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</si>
  <si>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</si>
  <si>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</si>
  <si>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</si>
  <si>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</si>
  <si>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</si>
  <si>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</si>
  <si>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</si>
  <si>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</si>
  <si>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</si>
  <si>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</si>
  <si>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</si>
  <si>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</si>
  <si>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</si>
  <si>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</si>
  <si>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</si>
  <si>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</si>
  <si>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</si>
  <si>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</si>
  <si>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</si>
  <si>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</si>
  <si>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</si>
  <si>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</si>
  <si>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</si>
  <si>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</si>
  <si>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</si>
  <si>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</si>
  <si>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</si>
  <si>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</si>
  <si>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</si>
  <si>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</si>
  <si>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</si>
  <si>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</si>
  <si>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</si>
  <si>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</si>
  <si>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</si>
  <si>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</si>
  <si>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</si>
  <si>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</si>
  <si>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</si>
  <si>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</si>
  <si>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</si>
  <si>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</si>
  <si>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</si>
  <si>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</si>
  <si>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</si>
  <si>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</si>
  <si>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</si>
  <si>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</si>
  <si>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</si>
  <si>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</si>
  <si>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</si>
  <si>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</si>
  <si>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</si>
  <si>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</si>
  <si>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</si>
  <si>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</si>
  <si>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</si>
  <si>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</si>
  <si>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</si>
  <si>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</si>
  <si>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</si>
  <si>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</si>
  <si>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</si>
  <si>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</si>
  <si>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</si>
  <si>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</si>
  <si>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</si>
  <si>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</si>
  <si>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</si>
  <si>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</si>
  <si>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</si>
  <si>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</si>
  <si>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</si>
  <si>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</si>
  <si>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</si>
  <si>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</si>
  <si>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</si>
  <si>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</si>
  <si>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</si>
  <si>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</si>
  <si>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</si>
  <si>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</si>
  <si>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</si>
  <si>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</si>
  <si>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</si>
  <si>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</si>
  <si>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</si>
  <si>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</si>
  <si>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</si>
  <si>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</si>
  <si>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</si>
  <si>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</si>
  <si>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</si>
  <si>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</si>
  <si>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</si>
  <si>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</si>
  <si>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</si>
  <si>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</si>
  <si>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</si>
  <si>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</si>
  <si>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</si>
  <si>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</si>
  <si>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</si>
  <si>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</si>
  <si>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</si>
  <si>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</si>
  <si>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</si>
  <si>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</si>
  <si>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</si>
  <si>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</si>
  <si>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</si>
  <si>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</si>
  <si>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</si>
  <si>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</si>
  <si>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</si>
  <si>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</si>
  <si>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</si>
  <si>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</si>
  <si>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</si>
  <si>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</si>
  <si>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</si>
  <si>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</si>
  <si>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</si>
  <si>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</si>
  <si>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</si>
  <si>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</si>
  <si>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</si>
  <si>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</si>
  <si>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</si>
  <si>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</si>
  <si>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</si>
  <si>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</si>
  <si>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</si>
  <si>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</si>
  <si>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</si>
  <si>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</si>
  <si>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</si>
  <si>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</si>
  <si>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</si>
  <si>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</si>
  <si>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</si>
  <si>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</si>
  <si>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</si>
  <si>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</si>
  <si>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</si>
  <si>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</si>
  <si>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</si>
  <si>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</si>
  <si>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</si>
  <si>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</si>
  <si>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</si>
  <si>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</si>
  <si>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</si>
  <si>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</si>
  <si>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</si>
  <si>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</si>
  <si>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</si>
  <si>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</si>
  <si>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</si>
  <si>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</si>
  <si>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</si>
  <si>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</si>
  <si>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</si>
  <si>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</si>
  <si>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</si>
  <si>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</si>
  <si>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</si>
  <si>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</si>
  <si>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</si>
  <si>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</si>
  <si>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</si>
  <si>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</si>
  <si>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</si>
  <si>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</si>
  <si>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</si>
  <si>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</si>
  <si>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</si>
  <si>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</si>
  <si>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</si>
  <si>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</si>
  <si>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</si>
  <si>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</si>
  <si>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</si>
  <si>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</si>
  <si>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</si>
  <si>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</si>
  <si>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</si>
  <si>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</si>
  <si>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</si>
  <si>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</si>
  <si>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</si>
  <si>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</si>
  <si>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             BARTLETT SCHOOL DISTRICT</t>
  </si>
  <si>
    <t>3190 Other State Revenue - State's Distribution of $3.5M Alloc HB2, Chapter 224 Tchr Retirement</t>
  </si>
  <si>
    <t>4590 Other Fed Aid Thru State - EdJobs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</si>
</sst>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35</v>
      </c>
      <c r="C2" s="21">
        <v>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169280.39+300</f>
        <v>169580.39</v>
      </c>
      <c r="G9" s="18">
        <v>65587.77</v>
      </c>
      <c r="H9" s="18">
        <v>0</v>
      </c>
      <c r="I9" s="18"/>
      <c r="J9" s="67">
        <f>SUM(I438)</f>
        <v>237004.85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140448.38</v>
      </c>
      <c r="G12" s="18">
        <v>37780.58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9658.4500000000007</v>
      </c>
      <c r="G13" s="18">
        <v>11772.58</v>
      </c>
      <c r="H13" s="18">
        <v>27952.99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132.24</v>
      </c>
      <c r="G14" s="18">
        <v>230.65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319819.46000000002</v>
      </c>
      <c r="G19" s="41">
        <f>SUM(G9:G18)</f>
        <v>115371.58</v>
      </c>
      <c r="H19" s="41">
        <f>SUM(H9:H18)</f>
        <v>27952.99</v>
      </c>
      <c r="I19" s="41">
        <f>SUM(I9:I18)</f>
        <v>0</v>
      </c>
      <c r="J19" s="41">
        <f>SUM(J9:J18)</f>
        <v>237004.85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37780.58</v>
      </c>
      <c r="G22" s="18">
        <v>114703.41</v>
      </c>
      <c r="H22" s="18">
        <v>25744.97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7298.54</v>
      </c>
      <c r="G24" s="18">
        <v>150.37</v>
      </c>
      <c r="H24" s="18">
        <v>400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4102.21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24737.31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73918.64</v>
      </c>
      <c r="G32" s="41">
        <f>SUM(G22:G31)</f>
        <v>114853.78</v>
      </c>
      <c r="H32" s="41">
        <f>SUM(H22:H31)</f>
        <v>26144.97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517.79999999999995</v>
      </c>
      <c r="H47" s="18">
        <v>1808.02</v>
      </c>
      <c r="I47" s="18"/>
      <c r="J47" s="13">
        <f>SUM(I458)</f>
        <v>237004.85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245900.82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245900.82</v>
      </c>
      <c r="G50" s="41">
        <f>SUM(G35:G49)</f>
        <v>517.79999999999995</v>
      </c>
      <c r="H50" s="41">
        <f>SUM(H35:H49)</f>
        <v>1808.02</v>
      </c>
      <c r="I50" s="41">
        <f>SUM(I35:I49)</f>
        <v>0</v>
      </c>
      <c r="J50" s="41">
        <f>SUM(J35:J49)</f>
        <v>237004.85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319819.46000000002</v>
      </c>
      <c r="G51" s="41">
        <f>G50+G32</f>
        <v>115371.58</v>
      </c>
      <c r="H51" s="41">
        <f>H50+H32</f>
        <v>27952.99</v>
      </c>
      <c r="I51" s="41">
        <f>I50+I32</f>
        <v>0</v>
      </c>
      <c r="J51" s="41">
        <f>J50+J32</f>
        <v>237004.85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4779300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4779300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317561.68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317561.68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512.27</v>
      </c>
      <c r="G95" s="18">
        <v>14.91</v>
      </c>
      <c r="H95" s="18"/>
      <c r="I95" s="18"/>
      <c r="J95" s="18">
        <v>414.92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78481.91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2347.7199999999998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12272.5</v>
      </c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1909.21</v>
      </c>
      <c r="G109" s="18">
        <v>293</v>
      </c>
      <c r="H109" s="18">
        <v>12345</v>
      </c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17041.7</v>
      </c>
      <c r="G110" s="41">
        <f>SUM(G95:G109)</f>
        <v>78789.820000000007</v>
      </c>
      <c r="H110" s="41">
        <f>SUM(H95:H109)</f>
        <v>12345</v>
      </c>
      <c r="I110" s="41">
        <f>SUM(I95:I109)</f>
        <v>0</v>
      </c>
      <c r="J110" s="41">
        <f>SUM(J95:J109)</f>
        <v>414.92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5113903.38</v>
      </c>
      <c r="G111" s="41">
        <f>G59+G110</f>
        <v>78789.820000000007</v>
      </c>
      <c r="H111" s="41">
        <f>H59+H78+H93+H110</f>
        <v>12345</v>
      </c>
      <c r="I111" s="41">
        <f>I59+I110</f>
        <v>0</v>
      </c>
      <c r="J111" s="41">
        <f>J59+J110</f>
        <v>414.92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18292.150000000001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2385277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15.85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2403585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12508.92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49312.959999999999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1571.51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4261.58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66083.459999999992</v>
      </c>
      <c r="G135" s="41">
        <f>SUM(G122:G134)</f>
        <v>1571.51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2469668.46</v>
      </c>
      <c r="G139" s="41">
        <f>G120+SUM(G135:G136)</f>
        <v>1571.51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92354.29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29368.68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62086.22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68448.62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43120.12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50405.95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93526.07</v>
      </c>
      <c r="G161" s="41">
        <f>SUM(G149:G160)</f>
        <v>62086.22</v>
      </c>
      <c r="H161" s="41">
        <f>SUM(H149:H160)</f>
        <v>190171.59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21235.52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114761.59000000001</v>
      </c>
      <c r="G168" s="41">
        <f>G146+G161+SUM(G162:G167)</f>
        <v>62086.22</v>
      </c>
      <c r="H168" s="41">
        <f>H146+H161+SUM(H162:H167)</f>
        <v>190171.59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37780.58</v>
      </c>
      <c r="H178" s="18"/>
      <c r="I178" s="18"/>
      <c r="J178" s="18">
        <v>15000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37780.58</v>
      </c>
      <c r="H182" s="41">
        <f>SUM(H178:H181)</f>
        <v>0</v>
      </c>
      <c r="I182" s="41">
        <f>SUM(I178:I181)</f>
        <v>0</v>
      </c>
      <c r="J182" s="41">
        <f>SUM(J178:J181)</f>
        <v>15000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37780.58</v>
      </c>
      <c r="H191" s="41">
        <f>+H182+SUM(H187:H190)</f>
        <v>0</v>
      </c>
      <c r="I191" s="41">
        <f>I176+I182+SUM(I187:I190)</f>
        <v>0</v>
      </c>
      <c r="J191" s="41">
        <f>J182</f>
        <v>15000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7698333.4299999997</v>
      </c>
      <c r="G192" s="47">
        <f>G111+G139+G168+G191</f>
        <v>180228.13</v>
      </c>
      <c r="H192" s="47">
        <f>H111+H139+H168+H191</f>
        <v>202516.59</v>
      </c>
      <c r="I192" s="47">
        <f>I111+I139+I168+I191</f>
        <v>0</v>
      </c>
      <c r="J192" s="47">
        <f>J111+J139+J191</f>
        <v>15414.92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1556718.82</v>
      </c>
      <c r="G196" s="18">
        <v>660605.73</v>
      </c>
      <c r="H196" s="18">
        <v>19122.560000000001</v>
      </c>
      <c r="I196" s="18">
        <v>47707.98</v>
      </c>
      <c r="J196" s="18">
        <v>14590.28</v>
      </c>
      <c r="K196" s="18"/>
      <c r="L196" s="19">
        <f>SUM(F196:K196)</f>
        <v>2298745.3699999996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438946.1</v>
      </c>
      <c r="G197" s="18">
        <v>294569.37</v>
      </c>
      <c r="H197" s="18">
        <v>101554.36</v>
      </c>
      <c r="I197" s="18">
        <v>1934.04</v>
      </c>
      <c r="J197" s="18"/>
      <c r="K197" s="18"/>
      <c r="L197" s="19">
        <f>SUM(F197:K197)</f>
        <v>837003.87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52300</v>
      </c>
      <c r="G199" s="18">
        <v>8673.0400000000009</v>
      </c>
      <c r="H199" s="18">
        <v>29640.2</v>
      </c>
      <c r="I199" s="18">
        <v>3286.5</v>
      </c>
      <c r="J199" s="18">
        <v>2669.95</v>
      </c>
      <c r="K199" s="18"/>
      <c r="L199" s="19">
        <f>SUM(F199:K199)</f>
        <v>96569.69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261078.18</v>
      </c>
      <c r="G201" s="18">
        <v>153774.81</v>
      </c>
      <c r="H201" s="18">
        <v>12965.96</v>
      </c>
      <c r="I201" s="18">
        <v>1495.75</v>
      </c>
      <c r="J201" s="18">
        <v>500</v>
      </c>
      <c r="K201" s="18"/>
      <c r="L201" s="19">
        <f t="shared" ref="L201:L207" si="0">SUM(F201:K201)</f>
        <v>429814.7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68990.28</v>
      </c>
      <c r="G202" s="18">
        <v>44328.9</v>
      </c>
      <c r="H202" s="18">
        <v>18518.919999999998</v>
      </c>
      <c r="I202" s="18">
        <v>7413.15</v>
      </c>
      <c r="J202" s="18"/>
      <c r="K202" s="18"/>
      <c r="L202" s="19">
        <f t="shared" si="0"/>
        <v>139251.24999999997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9179</v>
      </c>
      <c r="G203" s="18">
        <v>702.16</v>
      </c>
      <c r="H203" s="18">
        <v>195009.42</v>
      </c>
      <c r="I203" s="18"/>
      <c r="J203" s="18"/>
      <c r="K203" s="18">
        <v>1938.75</v>
      </c>
      <c r="L203" s="19">
        <f t="shared" si="0"/>
        <v>206829.33000000002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168505.81</v>
      </c>
      <c r="G204" s="18">
        <v>101168.97</v>
      </c>
      <c r="H204" s="18">
        <v>14406.49</v>
      </c>
      <c r="I204" s="18">
        <v>6488.76</v>
      </c>
      <c r="J204" s="18">
        <v>4840.25</v>
      </c>
      <c r="K204" s="18">
        <v>4057</v>
      </c>
      <c r="L204" s="19">
        <f t="shared" si="0"/>
        <v>299467.28000000003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128918.78</v>
      </c>
      <c r="G206" s="18">
        <v>51402.22</v>
      </c>
      <c r="H206" s="18">
        <v>122940.27</v>
      </c>
      <c r="I206" s="18">
        <v>132688.95000000001</v>
      </c>
      <c r="J206" s="18">
        <v>3280.22</v>
      </c>
      <c r="K206" s="18"/>
      <c r="L206" s="19">
        <f t="shared" si="0"/>
        <v>439230.44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73754.509999999995</v>
      </c>
      <c r="G207" s="18">
        <v>52681.79</v>
      </c>
      <c r="H207" s="18">
        <v>17052.72</v>
      </c>
      <c r="I207" s="18">
        <v>38662.160000000003</v>
      </c>
      <c r="J207" s="18">
        <v>3111</v>
      </c>
      <c r="K207" s="18"/>
      <c r="L207" s="19">
        <f t="shared" si="0"/>
        <v>185262.18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72.599999999999994</v>
      </c>
      <c r="I208" s="18"/>
      <c r="J208" s="18"/>
      <c r="K208" s="18"/>
      <c r="L208" s="19">
        <f>SUM(F208:K208)</f>
        <v>72.599999999999994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2758391.4799999995</v>
      </c>
      <c r="G210" s="41">
        <f t="shared" si="1"/>
        <v>1367906.9899999998</v>
      </c>
      <c r="H210" s="41">
        <f t="shared" si="1"/>
        <v>531283.5</v>
      </c>
      <c r="I210" s="41">
        <f t="shared" si="1"/>
        <v>239677.29</v>
      </c>
      <c r="J210" s="41">
        <f t="shared" si="1"/>
        <v>28991.7</v>
      </c>
      <c r="K210" s="41">
        <f t="shared" si="1"/>
        <v>5995.75</v>
      </c>
      <c r="L210" s="41">
        <f t="shared" si="1"/>
        <v>4932246.71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2112643</v>
      </c>
      <c r="I232" s="18"/>
      <c r="J232" s="18"/>
      <c r="K232" s="18"/>
      <c r="L232" s="19">
        <f>SUM(F232:K232)</f>
        <v>2112643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296682.86</v>
      </c>
      <c r="I233" s="18"/>
      <c r="J233" s="18"/>
      <c r="K233" s="18"/>
      <c r="L233" s="19">
        <f>SUM(F233:K233)</f>
        <v>296682.86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4521</v>
      </c>
      <c r="G239" s="18">
        <v>345.84</v>
      </c>
      <c r="H239" s="18">
        <v>96049.42</v>
      </c>
      <c r="I239" s="18"/>
      <c r="J239" s="18"/>
      <c r="K239" s="18">
        <v>954.9</v>
      </c>
      <c r="L239" s="19">
        <f t="shared" si="4"/>
        <v>101871.15999999999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41523.019999999997</v>
      </c>
      <c r="G243" s="18">
        <v>34144.400000000001</v>
      </c>
      <c r="H243" s="18">
        <v>11368.48</v>
      </c>
      <c r="I243" s="18">
        <v>25774.78</v>
      </c>
      <c r="J243" s="18">
        <v>2074</v>
      </c>
      <c r="K243" s="18"/>
      <c r="L243" s="19">
        <f t="shared" si="4"/>
        <v>114884.68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48.4</v>
      </c>
      <c r="I244" s="18"/>
      <c r="J244" s="18"/>
      <c r="K244" s="18"/>
      <c r="L244" s="19">
        <f>SUM(F244:K244)</f>
        <v>48.4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46044.02</v>
      </c>
      <c r="G246" s="41">
        <f t="shared" si="5"/>
        <v>34490.239999999998</v>
      </c>
      <c r="H246" s="41">
        <f t="shared" si="5"/>
        <v>2516792.1599999997</v>
      </c>
      <c r="I246" s="41">
        <f t="shared" si="5"/>
        <v>25774.78</v>
      </c>
      <c r="J246" s="41">
        <f t="shared" si="5"/>
        <v>2074</v>
      </c>
      <c r="K246" s="41">
        <f t="shared" si="5"/>
        <v>954.9</v>
      </c>
      <c r="L246" s="41">
        <f t="shared" si="5"/>
        <v>2626130.1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2804435.4999999995</v>
      </c>
      <c r="G256" s="41">
        <f t="shared" si="8"/>
        <v>1402397.2299999997</v>
      </c>
      <c r="H256" s="41">
        <f t="shared" si="8"/>
        <v>3048075.6599999997</v>
      </c>
      <c r="I256" s="41">
        <f t="shared" si="8"/>
        <v>265452.07</v>
      </c>
      <c r="J256" s="41">
        <f t="shared" si="8"/>
        <v>31065.7</v>
      </c>
      <c r="K256" s="41">
        <f t="shared" si="8"/>
        <v>6950.65</v>
      </c>
      <c r="L256" s="41">
        <f t="shared" si="8"/>
        <v>7558376.8100000005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37780.58</v>
      </c>
      <c r="L262" s="19">
        <f>SUM(F262:K262)</f>
        <v>37780.58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15000</v>
      </c>
      <c r="L265" s="19">
        <f t="shared" si="9"/>
        <v>15000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52780.58</v>
      </c>
      <c r="L269" s="41">
        <f t="shared" si="9"/>
        <v>52780.58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2804435.4999999995</v>
      </c>
      <c r="G270" s="42">
        <f t="shared" si="11"/>
        <v>1402397.2299999997</v>
      </c>
      <c r="H270" s="42">
        <f t="shared" si="11"/>
        <v>3048075.6599999997</v>
      </c>
      <c r="I270" s="42">
        <f t="shared" si="11"/>
        <v>265452.07</v>
      </c>
      <c r="J270" s="42">
        <f t="shared" si="11"/>
        <v>31065.7</v>
      </c>
      <c r="K270" s="42">
        <f t="shared" si="11"/>
        <v>59731.23</v>
      </c>
      <c r="L270" s="42">
        <f t="shared" si="11"/>
        <v>7611157.3900000006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66681.2</v>
      </c>
      <c r="G275" s="18">
        <v>32463.51</v>
      </c>
      <c r="H275" s="18"/>
      <c r="I275" s="18">
        <v>7505.83</v>
      </c>
      <c r="J275" s="18">
        <v>14688.8</v>
      </c>
      <c r="K275" s="18"/>
      <c r="L275" s="19">
        <f>SUM(F275:K275)</f>
        <v>121339.34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17371.8</v>
      </c>
      <c r="G276" s="18">
        <v>9430.83</v>
      </c>
      <c r="H276" s="18"/>
      <c r="I276" s="18">
        <v>6653.1</v>
      </c>
      <c r="J276" s="18">
        <v>12034.7</v>
      </c>
      <c r="K276" s="18"/>
      <c r="L276" s="19">
        <f>SUM(F276:K276)</f>
        <v>45490.429999999993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4900</v>
      </c>
      <c r="G280" s="18">
        <v>908.91</v>
      </c>
      <c r="H280" s="18">
        <v>19705</v>
      </c>
      <c r="I280" s="18"/>
      <c r="J280" s="18"/>
      <c r="K280" s="18"/>
      <c r="L280" s="19">
        <f t="shared" ref="L280:L286" si="12">SUM(F280:K280)</f>
        <v>25513.91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960</v>
      </c>
      <c r="G281" s="18">
        <v>93.19</v>
      </c>
      <c r="H281" s="18">
        <v>5318.27</v>
      </c>
      <c r="I281" s="18"/>
      <c r="J281" s="18">
        <v>3400.25</v>
      </c>
      <c r="K281" s="18"/>
      <c r="L281" s="19">
        <f t="shared" si="12"/>
        <v>9771.7100000000009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>
        <v>399.67</v>
      </c>
      <c r="I285" s="18"/>
      <c r="J285" s="18"/>
      <c r="K285" s="18"/>
      <c r="L285" s="19">
        <f t="shared" si="12"/>
        <v>399.67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89913</v>
      </c>
      <c r="G289" s="42">
        <f t="shared" si="13"/>
        <v>42896.44</v>
      </c>
      <c r="H289" s="42">
        <f t="shared" si="13"/>
        <v>25422.94</v>
      </c>
      <c r="I289" s="42">
        <f t="shared" si="13"/>
        <v>14158.93</v>
      </c>
      <c r="J289" s="42">
        <f t="shared" si="13"/>
        <v>30123.75</v>
      </c>
      <c r="K289" s="42">
        <f t="shared" si="13"/>
        <v>0</v>
      </c>
      <c r="L289" s="41">
        <f t="shared" si="13"/>
        <v>202515.06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89913</v>
      </c>
      <c r="G337" s="41">
        <f t="shared" si="20"/>
        <v>42896.44</v>
      </c>
      <c r="H337" s="41">
        <f t="shared" si="20"/>
        <v>25422.94</v>
      </c>
      <c r="I337" s="41">
        <f t="shared" si="20"/>
        <v>14158.93</v>
      </c>
      <c r="J337" s="41">
        <f t="shared" si="20"/>
        <v>30123.75</v>
      </c>
      <c r="K337" s="41">
        <f t="shared" si="20"/>
        <v>0</v>
      </c>
      <c r="L337" s="41">
        <f t="shared" si="20"/>
        <v>202515.06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89913</v>
      </c>
      <c r="G351" s="41">
        <f>G337</f>
        <v>42896.44</v>
      </c>
      <c r="H351" s="41">
        <f>H337</f>
        <v>25422.94</v>
      </c>
      <c r="I351" s="41">
        <f>I337</f>
        <v>14158.93</v>
      </c>
      <c r="J351" s="41">
        <f>J337</f>
        <v>30123.75</v>
      </c>
      <c r="K351" s="47">
        <f>K337+K350</f>
        <v>0</v>
      </c>
      <c r="L351" s="41">
        <f>L337+L350</f>
        <v>202515.06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68164.56</v>
      </c>
      <c r="G357" s="18">
        <v>46538.85</v>
      </c>
      <c r="H357" s="18">
        <v>1334.6</v>
      </c>
      <c r="I357" s="18">
        <v>63968.38</v>
      </c>
      <c r="J357" s="18">
        <v>221.74</v>
      </c>
      <c r="K357" s="18"/>
      <c r="L357" s="13">
        <f>SUM(F357:K357)</f>
        <v>180228.13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68164.56</v>
      </c>
      <c r="G361" s="47">
        <f t="shared" si="22"/>
        <v>46538.85</v>
      </c>
      <c r="H361" s="47">
        <f t="shared" si="22"/>
        <v>1334.6</v>
      </c>
      <c r="I361" s="47">
        <f t="shared" si="22"/>
        <v>63968.38</v>
      </c>
      <c r="J361" s="47">
        <f t="shared" si="22"/>
        <v>221.74</v>
      </c>
      <c r="K361" s="47">
        <f t="shared" si="22"/>
        <v>0</v>
      </c>
      <c r="L361" s="47">
        <f t="shared" si="22"/>
        <v>180228.13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56420.97</v>
      </c>
      <c r="G366" s="18"/>
      <c r="H366" s="18"/>
      <c r="I366" s="56">
        <f>SUM(F366:H366)</f>
        <v>56420.97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7547.41</v>
      </c>
      <c r="G367" s="63"/>
      <c r="H367" s="63"/>
      <c r="I367" s="56">
        <f>SUM(F367:H367)</f>
        <v>7547.41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63968.380000000005</v>
      </c>
      <c r="G368" s="47">
        <f>SUM(G366:G367)</f>
        <v>0</v>
      </c>
      <c r="H368" s="47">
        <f>SUM(H366:H367)</f>
        <v>0</v>
      </c>
      <c r="I368" s="47">
        <f>SUM(I366:I367)</f>
        <v>63968.380000000005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113.18</v>
      </c>
      <c r="I388" s="18"/>
      <c r="J388" s="24" t="s">
        <v>289</v>
      </c>
      <c r="K388" s="24" t="s">
        <v>289</v>
      </c>
      <c r="L388" s="56">
        <f t="shared" si="25"/>
        <v>113.18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>
        <v>15000</v>
      </c>
      <c r="H389" s="18">
        <v>164.2</v>
      </c>
      <c r="I389" s="18"/>
      <c r="J389" s="24" t="s">
        <v>289</v>
      </c>
      <c r="K389" s="24" t="s">
        <v>289</v>
      </c>
      <c r="L389" s="56">
        <f t="shared" si="25"/>
        <v>15164.2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1.43</v>
      </c>
      <c r="I391" s="18"/>
      <c r="J391" s="24" t="s">
        <v>289</v>
      </c>
      <c r="K391" s="24" t="s">
        <v>289</v>
      </c>
      <c r="L391" s="56">
        <f t="shared" si="25"/>
        <v>1.43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278.81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15278.810000000001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136.11000000000001</v>
      </c>
      <c r="I396" s="18"/>
      <c r="J396" s="24" t="s">
        <v>289</v>
      </c>
      <c r="K396" s="24" t="s">
        <v>289</v>
      </c>
      <c r="L396" s="56">
        <f t="shared" si="26"/>
        <v>136.11000000000001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136.11000000000001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136.11000000000001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15000</v>
      </c>
      <c r="H407" s="47">
        <f>H392+H400+H406</f>
        <v>414.92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15414.920000000002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129237.08</v>
      </c>
      <c r="G438" s="18">
        <v>107767.77</v>
      </c>
      <c r="H438" s="18"/>
      <c r="I438" s="56">
        <f t="shared" ref="I438:I444" si="33">SUM(F438:H438)</f>
        <v>237004.85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129237.08</v>
      </c>
      <c r="G445" s="13">
        <f>SUM(G438:G444)</f>
        <v>107767.77</v>
      </c>
      <c r="H445" s="13">
        <f>SUM(H438:H444)</f>
        <v>0</v>
      </c>
      <c r="I445" s="13">
        <f>SUM(I438:I444)</f>
        <v>237004.85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129237.08</v>
      </c>
      <c r="G458" s="18">
        <v>107767.77</v>
      </c>
      <c r="H458" s="18"/>
      <c r="I458" s="56">
        <f t="shared" si="34"/>
        <v>237004.85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129237.08</v>
      </c>
      <c r="G459" s="83">
        <f>SUM(G453:G458)</f>
        <v>107767.77</v>
      </c>
      <c r="H459" s="83">
        <f>SUM(H453:H458)</f>
        <v>0</v>
      </c>
      <c r="I459" s="83">
        <f>SUM(I453:I458)</f>
        <v>237004.85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129237.08</v>
      </c>
      <c r="G460" s="42">
        <f>G451+G459</f>
        <v>107767.77</v>
      </c>
      <c r="H460" s="42">
        <f>H451+H459</f>
        <v>0</v>
      </c>
      <c r="I460" s="42">
        <f>I451+I459</f>
        <v>237004.85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158724.78</v>
      </c>
      <c r="G464" s="18">
        <v>517.79999999999995</v>
      </c>
      <c r="H464" s="18">
        <v>1806.49</v>
      </c>
      <c r="I464" s="18"/>
      <c r="J464" s="18">
        <v>221589.93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7698333.4299999997</v>
      </c>
      <c r="G467" s="18">
        <v>180228.13</v>
      </c>
      <c r="H467" s="18">
        <v>202516.59</v>
      </c>
      <c r="I467" s="18"/>
      <c r="J467" s="18">
        <v>15414.92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7698333.4299999997</v>
      </c>
      <c r="G469" s="53">
        <f>SUM(G467:G468)</f>
        <v>180228.13</v>
      </c>
      <c r="H469" s="53">
        <f>SUM(H467:H468)</f>
        <v>202516.59</v>
      </c>
      <c r="I469" s="53">
        <f>SUM(I467:I468)</f>
        <v>0</v>
      </c>
      <c r="J469" s="53">
        <f>SUM(J467:J468)</f>
        <v>15414.92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7611157.3899999997</v>
      </c>
      <c r="G471" s="18">
        <v>180228.13</v>
      </c>
      <c r="H471" s="18">
        <v>202515.06</v>
      </c>
      <c r="I471" s="18"/>
      <c r="J471" s="18">
        <v>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7611157.3899999997</v>
      </c>
      <c r="G473" s="53">
        <f>SUM(G471:G472)</f>
        <v>180228.13</v>
      </c>
      <c r="H473" s="53">
        <f>SUM(H471:H472)</f>
        <v>202515.06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245900.8200000003</v>
      </c>
      <c r="G475" s="53">
        <f>(G464+G469)- G473</f>
        <v>517.79999999998836</v>
      </c>
      <c r="H475" s="53">
        <f>(H464+H469)- H473</f>
        <v>1808.0199999999895</v>
      </c>
      <c r="I475" s="53">
        <f>(I464+I469)- I473</f>
        <v>0</v>
      </c>
      <c r="J475" s="53">
        <f>(J464+J469)- J473</f>
        <v>237004.85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456317.9</v>
      </c>
      <c r="G520" s="18">
        <v>304000.2</v>
      </c>
      <c r="H520" s="18">
        <v>101554.36</v>
      </c>
      <c r="I520" s="18">
        <v>8587.14</v>
      </c>
      <c r="J520" s="18">
        <v>12034.7</v>
      </c>
      <c r="K520" s="18"/>
      <c r="L520" s="88">
        <f>SUM(F520:K520)</f>
        <v>882494.3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296682.86</v>
      </c>
      <c r="I522" s="18"/>
      <c r="J522" s="18"/>
      <c r="K522" s="18"/>
      <c r="L522" s="88">
        <f>SUM(F522:K522)</f>
        <v>296682.86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456317.9</v>
      </c>
      <c r="G523" s="108">
        <f t="shared" ref="G523:L523" si="36">SUM(G520:G522)</f>
        <v>304000.2</v>
      </c>
      <c r="H523" s="108">
        <f t="shared" si="36"/>
        <v>398237.22</v>
      </c>
      <c r="I523" s="108">
        <f t="shared" si="36"/>
        <v>8587.14</v>
      </c>
      <c r="J523" s="108">
        <f t="shared" si="36"/>
        <v>12034.7</v>
      </c>
      <c r="K523" s="108">
        <f t="shared" si="36"/>
        <v>0</v>
      </c>
      <c r="L523" s="89">
        <f t="shared" si="36"/>
        <v>1179177.1600000001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123833.18</v>
      </c>
      <c r="G525" s="18">
        <v>69392.88</v>
      </c>
      <c r="H525" s="18">
        <v>27329.67</v>
      </c>
      <c r="I525" s="18">
        <v>452.28</v>
      </c>
      <c r="J525" s="18"/>
      <c r="K525" s="18"/>
      <c r="L525" s="88">
        <f>SUM(F525:K525)</f>
        <v>221008.00999999998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123833.18</v>
      </c>
      <c r="G528" s="89">
        <f t="shared" ref="G528:L528" si="37">SUM(G525:G527)</f>
        <v>69392.88</v>
      </c>
      <c r="H528" s="89">
        <f t="shared" si="37"/>
        <v>27329.67</v>
      </c>
      <c r="I528" s="89">
        <f t="shared" si="37"/>
        <v>452.28</v>
      </c>
      <c r="J528" s="89">
        <f t="shared" si="37"/>
        <v>0</v>
      </c>
      <c r="K528" s="89">
        <f t="shared" si="37"/>
        <v>0</v>
      </c>
      <c r="L528" s="89">
        <f t="shared" si="37"/>
        <v>221008.00999999998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32835.26</v>
      </c>
      <c r="I530" s="18"/>
      <c r="J530" s="18"/>
      <c r="K530" s="18"/>
      <c r="L530" s="88">
        <f>SUM(F530:K530)</f>
        <v>32835.26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16172.59</v>
      </c>
      <c r="I532" s="18"/>
      <c r="J532" s="18"/>
      <c r="K532" s="18"/>
      <c r="L532" s="88">
        <f>SUM(F532:K532)</f>
        <v>16172.59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49007.850000000006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49007.850000000006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580151.08000000007</v>
      </c>
      <c r="G544" s="89">
        <f t="shared" ref="G544:L544" si="41">G523+G528+G533+G538+G543</f>
        <v>373393.08</v>
      </c>
      <c r="H544" s="89">
        <f t="shared" si="41"/>
        <v>474574.74</v>
      </c>
      <c r="I544" s="89">
        <f t="shared" si="41"/>
        <v>9039.42</v>
      </c>
      <c r="J544" s="89">
        <f t="shared" si="41"/>
        <v>12034.7</v>
      </c>
      <c r="K544" s="89">
        <f t="shared" si="41"/>
        <v>0</v>
      </c>
      <c r="L544" s="89">
        <f t="shared" si="41"/>
        <v>1449193.0200000003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882494.3</v>
      </c>
      <c r="G548" s="87">
        <f>L525</f>
        <v>221008.00999999998</v>
      </c>
      <c r="H548" s="87">
        <f>L530</f>
        <v>32835.26</v>
      </c>
      <c r="I548" s="87">
        <f>L535</f>
        <v>0</v>
      </c>
      <c r="J548" s="87">
        <f>L540</f>
        <v>0</v>
      </c>
      <c r="K548" s="87">
        <f>SUM(F548:J548)</f>
        <v>1136337.57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296682.86</v>
      </c>
      <c r="G550" s="87">
        <f>L527</f>
        <v>0</v>
      </c>
      <c r="H550" s="87">
        <f>L532</f>
        <v>16172.59</v>
      </c>
      <c r="I550" s="87">
        <f>L537</f>
        <v>0</v>
      </c>
      <c r="J550" s="87">
        <f>L542</f>
        <v>0</v>
      </c>
      <c r="K550" s="87">
        <f>SUM(F550:J550)</f>
        <v>312855.45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1179177.1600000001</v>
      </c>
      <c r="G551" s="89">
        <f t="shared" si="42"/>
        <v>221008.00999999998</v>
      </c>
      <c r="H551" s="89">
        <f t="shared" si="42"/>
        <v>49007.850000000006</v>
      </c>
      <c r="I551" s="89">
        <f t="shared" si="42"/>
        <v>0</v>
      </c>
      <c r="J551" s="89">
        <f t="shared" si="42"/>
        <v>0</v>
      </c>
      <c r="K551" s="89">
        <f t="shared" si="42"/>
        <v>1449193.02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2112643</v>
      </c>
      <c r="I574" s="87">
        <f>SUM(F574:H574)</f>
        <v>2112643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67102</v>
      </c>
      <c r="I578" s="87">
        <f t="shared" si="47"/>
        <v>67102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67036.56</v>
      </c>
      <c r="G581" s="18"/>
      <c r="H581" s="18">
        <v>180783.53</v>
      </c>
      <c r="I581" s="87">
        <f t="shared" si="47"/>
        <v>247820.09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48797.33</v>
      </c>
      <c r="I582" s="87">
        <f t="shared" si="47"/>
        <v>48797.33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172327</v>
      </c>
      <c r="I590" s="18"/>
      <c r="J590" s="18">
        <v>114884.68</v>
      </c>
      <c r="K590" s="104">
        <f t="shared" ref="K590:K596" si="48">SUM(H590:J590)</f>
        <v>287211.68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4113.91</v>
      </c>
      <c r="I593" s="18"/>
      <c r="J593" s="18"/>
      <c r="K593" s="104">
        <f t="shared" si="48"/>
        <v>4113.91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8821.27</v>
      </c>
      <c r="I594" s="18"/>
      <c r="J594" s="18"/>
      <c r="K594" s="104">
        <f t="shared" si="48"/>
        <v>8821.27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185262.18</v>
      </c>
      <c r="I597" s="108">
        <f>SUM(I590:I596)</f>
        <v>0</v>
      </c>
      <c r="J597" s="108">
        <f>SUM(J590:J596)</f>
        <v>114884.68</v>
      </c>
      <c r="K597" s="108">
        <f>SUM(K590:K596)</f>
        <v>300146.86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59115.45</v>
      </c>
      <c r="I603" s="18"/>
      <c r="J603" s="18">
        <v>2074</v>
      </c>
      <c r="K603" s="104">
        <f>SUM(H603:J603)</f>
        <v>61189.45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59115.45</v>
      </c>
      <c r="I604" s="108">
        <f>SUM(I601:I603)</f>
        <v>0</v>
      </c>
      <c r="J604" s="108">
        <f>SUM(J601:J603)</f>
        <v>2074</v>
      </c>
      <c r="K604" s="108">
        <f>SUM(K601:K603)</f>
        <v>61189.45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9396.9500000000007</v>
      </c>
      <c r="G610" s="18">
        <v>1830.42</v>
      </c>
      <c r="H610" s="18"/>
      <c r="I610" s="18"/>
      <c r="J610" s="18"/>
      <c r="K610" s="18"/>
      <c r="L610" s="88">
        <f>SUM(F610:K610)</f>
        <v>11227.37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9396.9500000000007</v>
      </c>
      <c r="G613" s="108">
        <f t="shared" si="49"/>
        <v>1830.42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11227.37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319819.46000000002</v>
      </c>
      <c r="H616" s="109">
        <f>SUM(F51)</f>
        <v>319819.46000000002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115371.58</v>
      </c>
      <c r="H617" s="109">
        <f>SUM(G51)</f>
        <v>115371.58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27952.99</v>
      </c>
      <c r="H618" s="109">
        <f>SUM(H51)</f>
        <v>27952.99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237004.85</v>
      </c>
      <c r="H620" s="109">
        <f>SUM(J51)</f>
        <v>237004.85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245900.82</v>
      </c>
      <c r="H621" s="109">
        <f>F475</f>
        <v>245900.8200000003</v>
      </c>
      <c r="I621" s="121" t="s">
        <v>101</v>
      </c>
      <c r="J621" s="109">
        <f t="shared" ref="J621:J654" si="50">G621-H621</f>
        <v>-2.9103830456733704E-10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517.79999999999995</v>
      </c>
      <c r="H622" s="109">
        <f>G475</f>
        <v>517.79999999998836</v>
      </c>
      <c r="I622" s="121" t="s">
        <v>102</v>
      </c>
      <c r="J622" s="109">
        <f t="shared" si="50"/>
        <v>1.1596057447604835E-11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1808.02</v>
      </c>
      <c r="H623" s="109">
        <f>H475</f>
        <v>1808.0199999999895</v>
      </c>
      <c r="I623" s="121" t="s">
        <v>103</v>
      </c>
      <c r="J623" s="109">
        <f t="shared" si="50"/>
        <v>1.0459189070388675E-11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237004.85</v>
      </c>
      <c r="H625" s="109">
        <f>J475</f>
        <v>237004.85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7698333.4299999997</v>
      </c>
      <c r="H626" s="104">
        <f>SUM(F467)</f>
        <v>7698333.4299999997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180228.13</v>
      </c>
      <c r="H627" s="104">
        <f>SUM(G467)</f>
        <v>180228.13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202516.59</v>
      </c>
      <c r="H628" s="104">
        <f>SUM(H467)</f>
        <v>202516.59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15414.92</v>
      </c>
      <c r="H630" s="104">
        <f>SUM(J467)</f>
        <v>15414.92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7611157.3900000006</v>
      </c>
      <c r="H631" s="104">
        <f>SUM(F471)</f>
        <v>7611157.3899999997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202515.06</v>
      </c>
      <c r="H632" s="104">
        <f>SUM(H471)</f>
        <v>202515.06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63968.38</v>
      </c>
      <c r="H633" s="104">
        <f>I368</f>
        <v>63968.380000000005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180228.13</v>
      </c>
      <c r="H634" s="104">
        <f>SUM(G471)</f>
        <v>180228.13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15414.920000000002</v>
      </c>
      <c r="H636" s="164">
        <f>SUM(J467)</f>
        <v>15414.92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129237.08</v>
      </c>
      <c r="H638" s="104">
        <f>SUM(F460)</f>
        <v>129237.08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107767.77</v>
      </c>
      <c r="H639" s="104">
        <f>SUM(G460)</f>
        <v>107767.77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237004.85</v>
      </c>
      <c r="H641" s="104">
        <f>SUM(I460)</f>
        <v>237004.85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414.92</v>
      </c>
      <c r="H643" s="104">
        <f>H407</f>
        <v>414.92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15000</v>
      </c>
      <c r="H644" s="104">
        <f>G407</f>
        <v>15000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15414.92</v>
      </c>
      <c r="H645" s="104">
        <f>L407</f>
        <v>15414.920000000002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300146.86</v>
      </c>
      <c r="H646" s="104">
        <f>L207+L225+L243</f>
        <v>300146.86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61189.45</v>
      </c>
      <c r="H647" s="104">
        <f>(J256+J337)-(J254+J335)</f>
        <v>61189.45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185262.18</v>
      </c>
      <c r="H648" s="104">
        <f>H597</f>
        <v>185262.18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114884.68</v>
      </c>
      <c r="H650" s="104">
        <f>J597</f>
        <v>114884.68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37780.58</v>
      </c>
      <c r="H651" s="104">
        <f>K262+K344</f>
        <v>37780.58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15000</v>
      </c>
      <c r="H654" s="104">
        <f>K265+K346</f>
        <v>15000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5314989.8999999994</v>
      </c>
      <c r="G659" s="19">
        <f>(L228+L308+L358)</f>
        <v>0</v>
      </c>
      <c r="H659" s="19">
        <f>(L246+L327+L359)</f>
        <v>2626130.1</v>
      </c>
      <c r="I659" s="19">
        <f>SUM(F659:H659)</f>
        <v>7941120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78774.91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78774.91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182151.18</v>
      </c>
      <c r="G661" s="19">
        <f>(L225+L305)-(J225+J305)</f>
        <v>0</v>
      </c>
      <c r="H661" s="19">
        <f>(L243+L324)-(J243+J324)</f>
        <v>112810.68</v>
      </c>
      <c r="I661" s="19">
        <f>SUM(F661:H661)</f>
        <v>294961.86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137379.38</v>
      </c>
      <c r="G662" s="200">
        <f>SUM(G574:G586)+SUM(I601:I603)+L611</f>
        <v>0</v>
      </c>
      <c r="H662" s="200">
        <f>SUM(H574:H586)+SUM(J601:J603)+L612</f>
        <v>2411399.86</v>
      </c>
      <c r="I662" s="19">
        <f>SUM(F662:H662)</f>
        <v>2548779.2399999998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4916684.43</v>
      </c>
      <c r="G663" s="19">
        <f>G659-SUM(G660:G662)</f>
        <v>0</v>
      </c>
      <c r="H663" s="19">
        <f>H659-SUM(H660:H662)</f>
        <v>101919.56000000006</v>
      </c>
      <c r="I663" s="19">
        <f>I659-SUM(I660:I662)</f>
        <v>5018603.99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267.89</v>
      </c>
      <c r="G664" s="249"/>
      <c r="H664" s="249"/>
      <c r="I664" s="19">
        <f>SUM(F664:H664)</f>
        <v>267.89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18353.37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18733.82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-101919.56</v>
      </c>
      <c r="I668" s="19">
        <f>SUM(F668:H668)</f>
        <v>-101919.56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18353.37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18353.37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 xml:space="preserve">                BARTLETT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1623400.02</v>
      </c>
      <c r="C9" s="230">
        <f>'DOE25'!G196+'DOE25'!G214+'DOE25'!G232+'DOE25'!G275+'DOE25'!G294+'DOE25'!G313</f>
        <v>693069.24</v>
      </c>
    </row>
    <row r="10" spans="1:3" x14ac:dyDescent="0.2">
      <c r="A10" t="s">
        <v>779</v>
      </c>
      <c r="B10" s="241">
        <v>1478714</v>
      </c>
      <c r="C10" s="241">
        <v>644874.47</v>
      </c>
    </row>
    <row r="11" spans="1:3" x14ac:dyDescent="0.2">
      <c r="A11" t="s">
        <v>780</v>
      </c>
      <c r="B11" s="241">
        <v>59212.55</v>
      </c>
      <c r="C11" s="241">
        <v>28300.15</v>
      </c>
    </row>
    <row r="12" spans="1:3" x14ac:dyDescent="0.2">
      <c r="A12" t="s">
        <v>781</v>
      </c>
      <c r="B12" s="241">
        <v>85473.47</v>
      </c>
      <c r="C12" s="241">
        <v>19894.62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1623400.02</v>
      </c>
      <c r="C13" s="232">
        <f>SUM(C10:C12)</f>
        <v>693069.24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456317.89999999997</v>
      </c>
      <c r="C18" s="230">
        <f>'DOE25'!G197+'DOE25'!G215+'DOE25'!G233+'DOE25'!G276+'DOE25'!G295+'DOE25'!G314</f>
        <v>304000.2</v>
      </c>
    </row>
    <row r="19" spans="1:3" x14ac:dyDescent="0.2">
      <c r="A19" t="s">
        <v>779</v>
      </c>
      <c r="B19" s="241">
        <v>233317</v>
      </c>
      <c r="C19" s="241">
        <v>115359.93</v>
      </c>
    </row>
    <row r="20" spans="1:3" x14ac:dyDescent="0.2">
      <c r="A20" t="s">
        <v>780</v>
      </c>
      <c r="B20" s="241">
        <v>222009.1</v>
      </c>
      <c r="C20" s="241">
        <v>188564.4</v>
      </c>
    </row>
    <row r="21" spans="1:3" x14ac:dyDescent="0.2">
      <c r="A21" t="s">
        <v>781</v>
      </c>
      <c r="B21" s="241">
        <v>991.8</v>
      </c>
      <c r="C21" s="241">
        <v>75.87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456317.89999999997</v>
      </c>
      <c r="C22" s="232">
        <f>SUM(C19:C21)</f>
        <v>304000.19999999995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52300</v>
      </c>
      <c r="C36" s="236">
        <f>'DOE25'!G199+'DOE25'!G217+'DOE25'!G235+'DOE25'!G278+'DOE25'!G297+'DOE25'!G316</f>
        <v>8673.0400000000009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52300</v>
      </c>
      <c r="C39" s="241">
        <v>8673.0400000000009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52300</v>
      </c>
      <c r="C40" s="232">
        <f>SUM(C37:C39)</f>
        <v>8673.0400000000009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 xml:space="preserve">                BARTLETT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5641644.7899999991</v>
      </c>
      <c r="D5" s="20">
        <f>SUM('DOE25'!L196:L199)+SUM('DOE25'!L214:L217)+SUM('DOE25'!L232:L235)-F5-G5</f>
        <v>5624384.5599999987</v>
      </c>
      <c r="E5" s="244"/>
      <c r="F5" s="256">
        <f>SUM('DOE25'!J196:J199)+SUM('DOE25'!J214:J217)+SUM('DOE25'!J232:J235)</f>
        <v>17260.23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429814.7</v>
      </c>
      <c r="D6" s="20">
        <f>'DOE25'!L201+'DOE25'!L219+'DOE25'!L237-F6-G6</f>
        <v>429314.7</v>
      </c>
      <c r="E6" s="244"/>
      <c r="F6" s="256">
        <f>'DOE25'!J201+'DOE25'!J219+'DOE25'!J237</f>
        <v>500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139251.24999999997</v>
      </c>
      <c r="D7" s="20">
        <f>'DOE25'!L202+'DOE25'!L220+'DOE25'!L238-F7-G7</f>
        <v>139251.24999999997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197123.74999999997</v>
      </c>
      <c r="D8" s="244"/>
      <c r="E8" s="20">
        <f>'DOE25'!L203+'DOE25'!L221+'DOE25'!L239-F8-G8-D9-D11</f>
        <v>194230.09999999998</v>
      </c>
      <c r="F8" s="256">
        <f>'DOE25'!J203+'DOE25'!J221+'DOE25'!J239</f>
        <v>0</v>
      </c>
      <c r="G8" s="53">
        <f>'DOE25'!K203+'DOE25'!K221+'DOE25'!K239</f>
        <v>2893.65</v>
      </c>
      <c r="H8" s="260"/>
    </row>
    <row r="9" spans="1:9" x14ac:dyDescent="0.2">
      <c r="A9" s="32">
        <v>2310</v>
      </c>
      <c r="B9" t="s">
        <v>818</v>
      </c>
      <c r="C9" s="246">
        <f t="shared" si="0"/>
        <v>36304.49</v>
      </c>
      <c r="D9" s="245">
        <v>36304.49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5445</v>
      </c>
      <c r="D10" s="244"/>
      <c r="E10" s="245">
        <v>5445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75272.25</v>
      </c>
      <c r="D11" s="245">
        <v>75272.25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299467.28000000003</v>
      </c>
      <c r="D12" s="20">
        <f>'DOE25'!L204+'DOE25'!L222+'DOE25'!L240-F12-G12</f>
        <v>290570.03000000003</v>
      </c>
      <c r="E12" s="244"/>
      <c r="F12" s="256">
        <f>'DOE25'!J204+'DOE25'!J222+'DOE25'!J240</f>
        <v>4840.25</v>
      </c>
      <c r="G12" s="53">
        <f>'DOE25'!K204+'DOE25'!K222+'DOE25'!K240</f>
        <v>4057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439230.44</v>
      </c>
      <c r="D14" s="20">
        <f>'DOE25'!L206+'DOE25'!L224+'DOE25'!L242-F14-G14</f>
        <v>435950.22000000003</v>
      </c>
      <c r="E14" s="244"/>
      <c r="F14" s="256">
        <f>'DOE25'!J206+'DOE25'!J224+'DOE25'!J242</f>
        <v>3280.22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300146.86</v>
      </c>
      <c r="D15" s="20">
        <f>'DOE25'!L207+'DOE25'!L225+'DOE25'!L243-F15-G15</f>
        <v>294961.86</v>
      </c>
      <c r="E15" s="244"/>
      <c r="F15" s="256">
        <f>'DOE25'!J207+'DOE25'!J225+'DOE25'!J243</f>
        <v>5185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121</v>
      </c>
      <c r="D16" s="244"/>
      <c r="E16" s="20">
        <f>'DOE25'!L208+'DOE25'!L226+'DOE25'!L244-F16-G16</f>
        <v>121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123807.16</v>
      </c>
      <c r="D29" s="20">
        <f>'DOE25'!L357+'DOE25'!L358+'DOE25'!L359-'DOE25'!I366-F29-G29</f>
        <v>123585.42</v>
      </c>
      <c r="E29" s="244"/>
      <c r="F29" s="256">
        <f>'DOE25'!J357+'DOE25'!J358+'DOE25'!J359</f>
        <v>221.74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202515.06</v>
      </c>
      <c r="D31" s="20">
        <f>'DOE25'!L289+'DOE25'!L308+'DOE25'!L327+'DOE25'!L332+'DOE25'!L333+'DOE25'!L334-F31-G31</f>
        <v>172391.31</v>
      </c>
      <c r="E31" s="244"/>
      <c r="F31" s="256">
        <f>'DOE25'!J289+'DOE25'!J308+'DOE25'!J327+'DOE25'!J332+'DOE25'!J333+'DOE25'!J334</f>
        <v>30123.75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7621986.0899999989</v>
      </c>
      <c r="E33" s="247">
        <f>SUM(E5:E31)</f>
        <v>199796.09999999998</v>
      </c>
      <c r="F33" s="247">
        <f>SUM(F5:F31)</f>
        <v>61411.19</v>
      </c>
      <c r="G33" s="247">
        <f>SUM(G5:G31)</f>
        <v>6950.65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199796.09999999998</v>
      </c>
      <c r="E35" s="250"/>
    </row>
    <row r="36" spans="2:8" ht="12" thickTop="1" x14ac:dyDescent="0.2">
      <c r="B36" t="s">
        <v>815</v>
      </c>
      <c r="D36" s="20">
        <f>D33</f>
        <v>7621986.0899999989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BARTLETT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169580.39</v>
      </c>
      <c r="D8" s="95">
        <f>'DOE25'!G9</f>
        <v>65587.77</v>
      </c>
      <c r="E8" s="95">
        <f>'DOE25'!H9</f>
        <v>0</v>
      </c>
      <c r="F8" s="95">
        <f>'DOE25'!I9</f>
        <v>0</v>
      </c>
      <c r="G8" s="95">
        <f>'DOE25'!J9</f>
        <v>237004.85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140448.38</v>
      </c>
      <c r="D11" s="95">
        <f>'DOE25'!G12</f>
        <v>37780.58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9658.4500000000007</v>
      </c>
      <c r="D12" s="95">
        <f>'DOE25'!G13</f>
        <v>11772.58</v>
      </c>
      <c r="E12" s="95">
        <f>'DOE25'!H13</f>
        <v>27952.99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132.24</v>
      </c>
      <c r="D13" s="95">
        <f>'DOE25'!G14</f>
        <v>230.65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319819.46000000002</v>
      </c>
      <c r="D18" s="41">
        <f>SUM(D8:D17)</f>
        <v>115371.58</v>
      </c>
      <c r="E18" s="41">
        <f>SUM(E8:E17)</f>
        <v>27952.99</v>
      </c>
      <c r="F18" s="41">
        <f>SUM(F8:F17)</f>
        <v>0</v>
      </c>
      <c r="G18" s="41">
        <f>SUM(G8:G17)</f>
        <v>237004.85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37780.58</v>
      </c>
      <c r="D21" s="95">
        <f>'DOE25'!G22</f>
        <v>114703.41</v>
      </c>
      <c r="E21" s="95">
        <f>'DOE25'!H22</f>
        <v>25744.97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7298.54</v>
      </c>
      <c r="D23" s="95">
        <f>'DOE25'!G24</f>
        <v>150.37</v>
      </c>
      <c r="E23" s="95">
        <f>'DOE25'!H24</f>
        <v>400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4102.21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24737.31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73918.64</v>
      </c>
      <c r="D31" s="41">
        <f>SUM(D21:D30)</f>
        <v>114853.78</v>
      </c>
      <c r="E31" s="41">
        <f>SUM(E21:E30)</f>
        <v>26144.97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517.79999999999995</v>
      </c>
      <c r="E46" s="95">
        <f>'DOE25'!H47</f>
        <v>1808.02</v>
      </c>
      <c r="F46" s="95">
        <f>'DOE25'!I47</f>
        <v>0</v>
      </c>
      <c r="G46" s="95">
        <f>'DOE25'!J47</f>
        <v>237004.85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245900.82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245900.82</v>
      </c>
      <c r="D49" s="41">
        <f>SUM(D34:D48)</f>
        <v>517.79999999999995</v>
      </c>
      <c r="E49" s="41">
        <f>SUM(E34:E48)</f>
        <v>1808.02</v>
      </c>
      <c r="F49" s="41">
        <f>SUM(F34:F48)</f>
        <v>0</v>
      </c>
      <c r="G49" s="41">
        <f>SUM(G34:G48)</f>
        <v>237004.85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319819.46000000002</v>
      </c>
      <c r="D50" s="41">
        <f>D49+D31</f>
        <v>115371.58</v>
      </c>
      <c r="E50" s="41">
        <f>E49+E31</f>
        <v>27952.99</v>
      </c>
      <c r="F50" s="41">
        <f>F49+F31</f>
        <v>0</v>
      </c>
      <c r="G50" s="41">
        <f>G49+G31</f>
        <v>237004.85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4779300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317561.68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512.27</v>
      </c>
      <c r="D58" s="95">
        <f>'DOE25'!G95</f>
        <v>14.91</v>
      </c>
      <c r="E58" s="95">
        <f>'DOE25'!H95</f>
        <v>0</v>
      </c>
      <c r="F58" s="95">
        <f>'DOE25'!I95</f>
        <v>0</v>
      </c>
      <c r="G58" s="95">
        <f>'DOE25'!J95</f>
        <v>414.92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78481.91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16529.43</v>
      </c>
      <c r="D60" s="95">
        <f>SUM('DOE25'!G97:G109)</f>
        <v>293</v>
      </c>
      <c r="E60" s="95">
        <f>SUM('DOE25'!H97:H109)</f>
        <v>12345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334603.38</v>
      </c>
      <c r="D61" s="130">
        <f>SUM(D56:D60)</f>
        <v>78789.820000000007</v>
      </c>
      <c r="E61" s="130">
        <f>SUM(E56:E60)</f>
        <v>12345</v>
      </c>
      <c r="F61" s="130">
        <f>SUM(F56:F60)</f>
        <v>0</v>
      </c>
      <c r="G61" s="130">
        <f>SUM(G56:G60)</f>
        <v>414.92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5113903.38</v>
      </c>
      <c r="D62" s="22">
        <f>D55+D61</f>
        <v>78789.820000000007</v>
      </c>
      <c r="E62" s="22">
        <f>E55+E61</f>
        <v>12345</v>
      </c>
      <c r="F62" s="22">
        <f>F55+F61</f>
        <v>0</v>
      </c>
      <c r="G62" s="22">
        <f>G55+G61</f>
        <v>414.92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18292.150000000001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2385277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15.85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2403585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12508.92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49312.959999999999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4261.58</v>
      </c>
      <c r="D76" s="95">
        <f>SUM('DOE25'!G130:G134)</f>
        <v>1571.51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66083.459999999992</v>
      </c>
      <c r="D77" s="130">
        <f>SUM(D71:D76)</f>
        <v>1571.51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2469668.46</v>
      </c>
      <c r="D80" s="130">
        <f>SUM(D78:D79)+D77+D69</f>
        <v>1571.51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93526.07</v>
      </c>
      <c r="D87" s="95">
        <f>SUM('DOE25'!G152:G160)</f>
        <v>62086.22</v>
      </c>
      <c r="E87" s="95">
        <f>SUM('DOE25'!H152:H160)</f>
        <v>190171.59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21235.52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114761.59000000001</v>
      </c>
      <c r="D90" s="131">
        <f>SUM(D84:D89)</f>
        <v>62086.22</v>
      </c>
      <c r="E90" s="131">
        <f>SUM(E84:E89)</f>
        <v>190171.59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37780.58</v>
      </c>
      <c r="E95" s="95">
        <f>'DOE25'!H178</f>
        <v>0</v>
      </c>
      <c r="F95" s="95">
        <f>'DOE25'!I178</f>
        <v>0</v>
      </c>
      <c r="G95" s="95">
        <f>'DOE25'!J178</f>
        <v>15000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37780.58</v>
      </c>
      <c r="E102" s="86">
        <f>SUM(E92:E101)</f>
        <v>0</v>
      </c>
      <c r="F102" s="86">
        <f>SUM(F92:F101)</f>
        <v>0</v>
      </c>
      <c r="G102" s="86">
        <f>SUM(G92:G101)</f>
        <v>15000</v>
      </c>
    </row>
    <row r="103" spans="1:7" ht="12.75" thickTop="1" thickBot="1" x14ac:dyDescent="0.25">
      <c r="A103" s="33" t="s">
        <v>765</v>
      </c>
      <c r="C103" s="86">
        <f>C62+C80+C90+C102</f>
        <v>7698333.4299999997</v>
      </c>
      <c r="D103" s="86">
        <f>D62+D80+D90+D102</f>
        <v>180228.13</v>
      </c>
      <c r="E103" s="86">
        <f>E62+E80+E90+E102</f>
        <v>202516.59</v>
      </c>
      <c r="F103" s="86">
        <f>F62+F80+F90+F102</f>
        <v>0</v>
      </c>
      <c r="G103" s="86">
        <f>G62+G80+G102</f>
        <v>15414.92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4411388.3699999992</v>
      </c>
      <c r="D108" s="24" t="s">
        <v>289</v>
      </c>
      <c r="E108" s="95">
        <f>('DOE25'!L275)+('DOE25'!L294)+('DOE25'!L313)</f>
        <v>121339.34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1133686.73</v>
      </c>
      <c r="D109" s="24" t="s">
        <v>289</v>
      </c>
      <c r="E109" s="95">
        <f>('DOE25'!L276)+('DOE25'!L295)+('DOE25'!L314)</f>
        <v>45490.429999999993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96569.69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5641644.79</v>
      </c>
      <c r="D114" s="86">
        <f>SUM(D108:D113)</f>
        <v>0</v>
      </c>
      <c r="E114" s="86">
        <f>SUM(E108:E113)</f>
        <v>166829.76999999999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429814.7</v>
      </c>
      <c r="D117" s="24" t="s">
        <v>289</v>
      </c>
      <c r="E117" s="95">
        <f>+('DOE25'!L280)+('DOE25'!L299)+('DOE25'!L318)</f>
        <v>25513.91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139251.24999999997</v>
      </c>
      <c r="D118" s="24" t="s">
        <v>289</v>
      </c>
      <c r="E118" s="95">
        <f>+('DOE25'!L281)+('DOE25'!L300)+('DOE25'!L319)</f>
        <v>9771.7100000000009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308700.49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299467.28000000003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439230.44</v>
      </c>
      <c r="D122" s="24" t="s">
        <v>289</v>
      </c>
      <c r="E122" s="95">
        <f>+('DOE25'!L285)+('DOE25'!L304)+('DOE25'!L323)</f>
        <v>399.67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300146.86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121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180228.13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1916732.02</v>
      </c>
      <c r="D127" s="86">
        <f>SUM(D117:D126)</f>
        <v>180228.13</v>
      </c>
      <c r="E127" s="86">
        <f>SUM(E117:E126)</f>
        <v>35685.29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37780.58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15278.810000000001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136.11000000000001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-414.92000000000189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52780.58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7611157.3900000006</v>
      </c>
      <c r="D144" s="86">
        <f>(D114+D127+D143)</f>
        <v>180228.13</v>
      </c>
      <c r="E144" s="86">
        <f>(E114+E127+E143)</f>
        <v>202515.06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 xml:space="preserve">                BARTLETT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18353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18353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4532728</v>
      </c>
      <c r="D10" s="182">
        <f>ROUND((C10/$C$28)*100,1)</f>
        <v>57.7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1179177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96570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455329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149023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308821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299467</v>
      </c>
      <c r="D18" s="182">
        <f t="shared" si="0"/>
        <v>3.8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439630</v>
      </c>
      <c r="D20" s="182">
        <f t="shared" si="0"/>
        <v>5.6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300147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101453.09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7862345.0899999999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7862345.0899999999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4779300</v>
      </c>
      <c r="D35" s="182">
        <f t="shared" ref="D35:D40" si="1">ROUND((C35/$C$41)*100,1)</f>
        <v>60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347378.20999999996</v>
      </c>
      <c r="D36" s="182">
        <f t="shared" si="1"/>
        <v>4.4000000000000004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2403585</v>
      </c>
      <c r="D37" s="182">
        <f t="shared" si="1"/>
        <v>30.2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67655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367019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7964937.21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1" sqref="C11:M1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8" t="s">
        <v>767</v>
      </c>
      <c r="B2" s="299"/>
      <c r="C2" s="299"/>
      <c r="D2" s="299"/>
      <c r="E2" s="299"/>
      <c r="F2" s="292" t="str">
        <f>'DOE25'!A2</f>
        <v xml:space="preserve">                BARTLETT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4</v>
      </c>
      <c r="B4" s="220">
        <v>4</v>
      </c>
      <c r="C4" s="271" t="s">
        <v>910</v>
      </c>
      <c r="D4" s="271"/>
      <c r="E4" s="271"/>
      <c r="F4" s="271"/>
      <c r="G4" s="271"/>
      <c r="H4" s="271"/>
      <c r="I4" s="271"/>
      <c r="J4" s="271"/>
      <c r="K4" s="271"/>
      <c r="L4" s="271"/>
      <c r="M4" s="27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14</v>
      </c>
      <c r="C5" s="271" t="s">
        <v>911</v>
      </c>
      <c r="D5" s="271"/>
      <c r="E5" s="271"/>
      <c r="F5" s="271"/>
      <c r="G5" s="271"/>
      <c r="H5" s="271"/>
      <c r="I5" s="271"/>
      <c r="J5" s="271"/>
      <c r="K5" s="271"/>
      <c r="L5" s="271"/>
      <c r="M5" s="27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1"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6:M6"/>
    <mergeCell ref="C7:M7"/>
    <mergeCell ref="C8:M8"/>
    <mergeCell ref="A2:E2"/>
    <mergeCell ref="C20:M20"/>
    <mergeCell ref="C29:M29"/>
    <mergeCell ref="C25:M25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2012-09-05T17:58:28Z</cp:lastPrinted>
  <dcterms:created xsi:type="dcterms:W3CDTF">1997-12-04T19:04:30Z</dcterms:created>
  <dcterms:modified xsi:type="dcterms:W3CDTF">2012-09-24T14:14:49Z</dcterms:modified>
</cp:coreProperties>
</file>