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C10" i="12" l="1"/>
  <c r="C19" i="12"/>
  <c r="C37" i="12"/>
  <c r="G498" i="1"/>
  <c r="F498" i="1"/>
  <c r="F500" i="1"/>
  <c r="F494" i="1"/>
  <c r="G497" i="1"/>
  <c r="F497" i="1"/>
  <c r="F471" i="1"/>
  <c r="H154" i="1"/>
  <c r="F29" i="1"/>
  <c r="F28" i="1"/>
  <c r="F9" i="1"/>
  <c r="F367" i="1"/>
  <c r="H522" i="1" l="1"/>
  <c r="H520" i="1"/>
  <c r="I357" i="1"/>
  <c r="G357" i="1"/>
  <c r="F357" i="1"/>
  <c r="H281" i="1"/>
  <c r="H239" i="1"/>
  <c r="H233" i="1"/>
  <c r="H232" i="1"/>
  <c r="H221" i="1"/>
  <c r="H208" i="1"/>
  <c r="H206" i="1"/>
  <c r="H203" i="1"/>
  <c r="H202" i="1"/>
  <c r="H201" i="1"/>
  <c r="H197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C121" i="2" s="1"/>
  <c r="F16" i="13"/>
  <c r="G16" i="13"/>
  <c r="L208" i="1"/>
  <c r="L210" i="1" s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2" i="10" s="1"/>
  <c r="L235" i="1"/>
  <c r="C13" i="10" s="1"/>
  <c r="F6" i="13"/>
  <c r="G6" i="13"/>
  <c r="L201" i="1"/>
  <c r="L219" i="1"/>
  <c r="L237" i="1"/>
  <c r="C117" i="2" s="1"/>
  <c r="F7" i="13"/>
  <c r="G7" i="13"/>
  <c r="L202" i="1"/>
  <c r="C118" i="2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G650" i="1" s="1"/>
  <c r="F17" i="13"/>
  <c r="G17" i="13"/>
  <c r="L250" i="1"/>
  <c r="F18" i="13"/>
  <c r="G18" i="13"/>
  <c r="L251" i="1"/>
  <c r="F19" i="13"/>
  <c r="G19" i="13"/>
  <c r="D19" i="13" s="1"/>
  <c r="C19" i="13" s="1"/>
  <c r="L252" i="1"/>
  <c r="F29" i="13"/>
  <c r="G29" i="13"/>
  <c r="L357" i="1"/>
  <c r="L358" i="1"/>
  <c r="L359" i="1"/>
  <c r="D126" i="2" s="1"/>
  <c r="D127" i="2" s="1"/>
  <c r="I366" i="1"/>
  <c r="J289" i="1"/>
  <c r="J308" i="1"/>
  <c r="J327" i="1"/>
  <c r="F31" i="13" s="1"/>
  <c r="K289" i="1"/>
  <c r="K308" i="1"/>
  <c r="K327" i="1"/>
  <c r="G31" i="13"/>
  <c r="L275" i="1"/>
  <c r="E108" i="2" s="1"/>
  <c r="L276" i="1"/>
  <c r="E109" i="2" s="1"/>
  <c r="L277" i="1"/>
  <c r="L278" i="1"/>
  <c r="L280" i="1"/>
  <c r="L281" i="1"/>
  <c r="L282" i="1"/>
  <c r="L283" i="1"/>
  <c r="L284" i="1"/>
  <c r="L285" i="1"/>
  <c r="L286" i="1"/>
  <c r="E123" i="2" s="1"/>
  <c r="L287" i="1"/>
  <c r="E124" i="2" s="1"/>
  <c r="L294" i="1"/>
  <c r="L295" i="1"/>
  <c r="L296" i="1"/>
  <c r="E110" i="2" s="1"/>
  <c r="L297" i="1"/>
  <c r="E111" i="2" s="1"/>
  <c r="L299" i="1"/>
  <c r="C15" i="10" s="1"/>
  <c r="L300" i="1"/>
  <c r="C16" i="10" s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C19" i="10" s="1"/>
  <c r="L323" i="1"/>
  <c r="L324" i="1"/>
  <c r="L325" i="1"/>
  <c r="L332" i="1"/>
  <c r="L333" i="1"/>
  <c r="L334" i="1"/>
  <c r="L259" i="1"/>
  <c r="L260" i="1"/>
  <c r="L340" i="1"/>
  <c r="E130" i="2" s="1"/>
  <c r="L341" i="1"/>
  <c r="E131" i="2" s="1"/>
  <c r="L254" i="1"/>
  <c r="C129" i="2" s="1"/>
  <c r="L335" i="1"/>
  <c r="E129" i="2" s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D55" i="2" s="1"/>
  <c r="H59" i="1"/>
  <c r="E55" i="2" s="1"/>
  <c r="I59" i="1"/>
  <c r="F55" i="2" s="1"/>
  <c r="F78" i="1"/>
  <c r="C56" i="2" s="1"/>
  <c r="F93" i="1"/>
  <c r="C57" i="2" s="1"/>
  <c r="F110" i="1"/>
  <c r="G110" i="1"/>
  <c r="H78" i="1"/>
  <c r="E56" i="2" s="1"/>
  <c r="H93" i="1"/>
  <c r="E57" i="2" s="1"/>
  <c r="H110" i="1"/>
  <c r="I110" i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D84" i="2" s="1"/>
  <c r="G161" i="1"/>
  <c r="G168" i="1" s="1"/>
  <c r="H146" i="1"/>
  <c r="E84" i="2" s="1"/>
  <c r="H161" i="1"/>
  <c r="I146" i="1"/>
  <c r="F84" i="2" s="1"/>
  <c r="I161" i="1"/>
  <c r="L249" i="1"/>
  <c r="C112" i="2" s="1"/>
  <c r="L331" i="1"/>
  <c r="E112" i="2" s="1"/>
  <c r="L253" i="1"/>
  <c r="L267" i="1"/>
  <c r="C141" i="2" s="1"/>
  <c r="L268" i="1"/>
  <c r="C142" i="2" s="1"/>
  <c r="L348" i="1"/>
  <c r="E141" i="2" s="1"/>
  <c r="L349" i="1"/>
  <c r="E142" i="2" s="1"/>
  <c r="I664" i="1"/>
  <c r="I669" i="1"/>
  <c r="I668" i="1"/>
  <c r="C6" i="10"/>
  <c r="C5" i="10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E134" i="2" s="1"/>
  <c r="L345" i="1"/>
  <c r="E136" i="2" s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13" i="2"/>
  <c r="D114" i="2"/>
  <c r="F114" i="2"/>
  <c r="G114" i="2"/>
  <c r="F127" i="2"/>
  <c r="G127" i="2"/>
  <c r="D133" i="2"/>
  <c r="D143" i="2"/>
  <c r="F133" i="2"/>
  <c r="K418" i="1"/>
  <c r="K426" i="1"/>
  <c r="K432" i="1"/>
  <c r="L262" i="1"/>
  <c r="C134" i="2" s="1"/>
  <c r="L263" i="1"/>
  <c r="C135" i="2" s="1"/>
  <c r="L264" i="1"/>
  <c r="C136" i="2" s="1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G156" i="2" s="1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G618" i="1" s="1"/>
  <c r="I19" i="1"/>
  <c r="G619" i="1" s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G639" i="1" s="1"/>
  <c r="H445" i="1"/>
  <c r="G640" i="1" s="1"/>
  <c r="F451" i="1"/>
  <c r="G451" i="1"/>
  <c r="H451" i="1"/>
  <c r="F459" i="1"/>
  <c r="G459" i="1"/>
  <c r="H459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F544" i="1" s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J616" i="1" s="1"/>
  <c r="G617" i="1"/>
  <c r="H626" i="1"/>
  <c r="H627" i="1"/>
  <c r="H628" i="1"/>
  <c r="H629" i="1"/>
  <c r="H630" i="1"/>
  <c r="H631" i="1"/>
  <c r="H632" i="1"/>
  <c r="H634" i="1"/>
  <c r="H635" i="1"/>
  <c r="H636" i="1"/>
  <c r="H637" i="1"/>
  <c r="G642" i="1"/>
  <c r="G643" i="1"/>
  <c r="G651" i="1"/>
  <c r="J651" i="1" s="1"/>
  <c r="H651" i="1"/>
  <c r="G652" i="1"/>
  <c r="H652" i="1"/>
  <c r="G653" i="1"/>
  <c r="H653" i="1"/>
  <c r="J653" i="1" s="1"/>
  <c r="H654" i="1"/>
  <c r="E8" i="13"/>
  <c r="C8" i="13" s="1"/>
  <c r="G61" i="2"/>
  <c r="C69" i="2" l="1"/>
  <c r="F139" i="1"/>
  <c r="A40" i="12"/>
  <c r="C90" i="2"/>
  <c r="J652" i="1"/>
  <c r="F191" i="1"/>
  <c r="L255" i="1"/>
  <c r="F129" i="2"/>
  <c r="F143" i="2" s="1"/>
  <c r="F144" i="2" s="1"/>
  <c r="F407" i="1"/>
  <c r="H642" i="1" s="1"/>
  <c r="J618" i="1"/>
  <c r="G660" i="1"/>
  <c r="F61" i="2"/>
  <c r="F660" i="1"/>
  <c r="L381" i="1"/>
  <c r="G635" i="1" s="1"/>
  <c r="J635" i="1" s="1"/>
  <c r="L406" i="1"/>
  <c r="C139" i="2" s="1"/>
  <c r="J433" i="1"/>
  <c r="I433" i="1"/>
  <c r="C113" i="2"/>
  <c r="E49" i="2"/>
  <c r="L269" i="1"/>
  <c r="E122" i="2"/>
  <c r="F49" i="2"/>
  <c r="L327" i="1"/>
  <c r="H661" i="1"/>
  <c r="C32" i="10"/>
  <c r="J619" i="1"/>
  <c r="F77" i="2"/>
  <c r="F80" i="2" s="1"/>
  <c r="H660" i="1"/>
  <c r="F460" i="1"/>
  <c r="H638" i="1" s="1"/>
  <c r="J638" i="1" s="1"/>
  <c r="L533" i="1"/>
  <c r="C122" i="2"/>
  <c r="C24" i="10"/>
  <c r="C26" i="10"/>
  <c r="L528" i="1"/>
  <c r="H433" i="1"/>
  <c r="E121" i="2"/>
  <c r="F18" i="2"/>
  <c r="D49" i="2"/>
  <c r="F433" i="1"/>
  <c r="I407" i="1"/>
  <c r="L350" i="1"/>
  <c r="L228" i="1"/>
  <c r="H407" i="1"/>
  <c r="H643" i="1" s="1"/>
  <c r="J643" i="1" s="1"/>
  <c r="C31" i="2"/>
  <c r="H460" i="1"/>
  <c r="H640" i="1" s="1"/>
  <c r="J640" i="1" s="1"/>
  <c r="G407" i="1"/>
  <c r="H644" i="1" s="1"/>
  <c r="G460" i="1"/>
  <c r="H639" i="1" s="1"/>
  <c r="D61" i="2"/>
  <c r="D62" i="2" s="1"/>
  <c r="C77" i="2"/>
  <c r="C80" i="2" s="1"/>
  <c r="K433" i="1"/>
  <c r="G133" i="2" s="1"/>
  <c r="G143" i="2" s="1"/>
  <c r="G644" i="1"/>
  <c r="J644" i="1" s="1"/>
  <c r="J337" i="1"/>
  <c r="J351" i="1" s="1"/>
  <c r="C10" i="10"/>
  <c r="L538" i="1"/>
  <c r="I111" i="1"/>
  <c r="I192" i="1" s="1"/>
  <c r="G629" i="1" s="1"/>
  <c r="J629" i="1" s="1"/>
  <c r="E114" i="2"/>
  <c r="E118" i="2"/>
  <c r="E90" i="2"/>
  <c r="I451" i="1"/>
  <c r="E117" i="2"/>
  <c r="E120" i="2"/>
  <c r="F661" i="1"/>
  <c r="G433" i="1"/>
  <c r="G624" i="1"/>
  <c r="G623" i="1"/>
  <c r="G622" i="1"/>
  <c r="G570" i="1"/>
  <c r="I337" i="1"/>
  <c r="I351" i="1" s="1"/>
  <c r="G111" i="1"/>
  <c r="I445" i="1"/>
  <c r="G641" i="1" s="1"/>
  <c r="K502" i="1"/>
  <c r="C25" i="10"/>
  <c r="G161" i="2"/>
  <c r="K499" i="1"/>
  <c r="E119" i="2"/>
  <c r="D29" i="13"/>
  <c r="C29" i="13" s="1"/>
  <c r="G649" i="1"/>
  <c r="J649" i="1" s="1"/>
  <c r="G621" i="1"/>
  <c r="I191" i="1"/>
  <c r="G648" i="1"/>
  <c r="J648" i="1" s="1"/>
  <c r="I459" i="1"/>
  <c r="G162" i="2"/>
  <c r="D14" i="13"/>
  <c r="C14" i="13" s="1"/>
  <c r="D18" i="13"/>
  <c r="C18" i="13" s="1"/>
  <c r="F102" i="2"/>
  <c r="G157" i="2"/>
  <c r="D31" i="2"/>
  <c r="D50" i="2" s="1"/>
  <c r="F90" i="2"/>
  <c r="G163" i="2"/>
  <c r="G80" i="2"/>
  <c r="E18" i="2"/>
  <c r="D90" i="2"/>
  <c r="D18" i="2"/>
  <c r="C18" i="2"/>
  <c r="E102" i="2"/>
  <c r="E61" i="2"/>
  <c r="E62" i="2" s="1"/>
  <c r="C102" i="2"/>
  <c r="E143" i="2"/>
  <c r="G102" i="2"/>
  <c r="D17" i="13"/>
  <c r="C17" i="13" s="1"/>
  <c r="G159" i="2"/>
  <c r="F31" i="2"/>
  <c r="G155" i="2"/>
  <c r="E31" i="2"/>
  <c r="G160" i="2"/>
  <c r="C61" i="2"/>
  <c r="C62" i="2" s="1"/>
  <c r="E13" i="13"/>
  <c r="C13" i="13" s="1"/>
  <c r="D102" i="2"/>
  <c r="G158" i="2"/>
  <c r="G33" i="13"/>
  <c r="F62" i="2"/>
  <c r="D7" i="13"/>
  <c r="C7" i="13" s="1"/>
  <c r="G144" i="2"/>
  <c r="L523" i="1"/>
  <c r="L544" i="1" s="1"/>
  <c r="G634" i="1"/>
  <c r="J634" i="1" s="1"/>
  <c r="K337" i="1"/>
  <c r="K351" i="1" s="1"/>
  <c r="L289" i="1"/>
  <c r="F659" i="1" s="1"/>
  <c r="C131" i="2"/>
  <c r="K256" i="1"/>
  <c r="K270" i="1" s="1"/>
  <c r="C20" i="10"/>
  <c r="C18" i="10"/>
  <c r="D6" i="13"/>
  <c r="C6" i="13" s="1"/>
  <c r="C111" i="2"/>
  <c r="C110" i="2"/>
  <c r="L246" i="1"/>
  <c r="C11" i="10"/>
  <c r="D15" i="13"/>
  <c r="C15" i="13" s="1"/>
  <c r="H646" i="1"/>
  <c r="I256" i="1"/>
  <c r="I270" i="1" s="1"/>
  <c r="G256" i="1"/>
  <c r="G270" i="1" s="1"/>
  <c r="F256" i="1"/>
  <c r="F270" i="1" s="1"/>
  <c r="C109" i="2"/>
  <c r="C108" i="2"/>
  <c r="C124" i="2"/>
  <c r="C17" i="10"/>
  <c r="C21" i="10"/>
  <c r="C123" i="2"/>
  <c r="C120" i="2"/>
  <c r="D12" i="13"/>
  <c r="C12" i="13" s="1"/>
  <c r="C119" i="2"/>
  <c r="E77" i="2"/>
  <c r="E80" i="2" s="1"/>
  <c r="L426" i="1"/>
  <c r="J256" i="1"/>
  <c r="J270" i="1" s="1"/>
  <c r="H111" i="1"/>
  <c r="F111" i="1"/>
  <c r="K604" i="1"/>
  <c r="G647" i="1" s="1"/>
  <c r="J570" i="1"/>
  <c r="K570" i="1"/>
  <c r="L432" i="1"/>
  <c r="L418" i="1"/>
  <c r="D80" i="2"/>
  <c r="I168" i="1"/>
  <c r="H168" i="1"/>
  <c r="G551" i="1"/>
  <c r="J642" i="1"/>
  <c r="J475" i="1"/>
  <c r="H625" i="1" s="1"/>
  <c r="H475" i="1"/>
  <c r="H623" i="1" s="1"/>
  <c r="F475" i="1"/>
  <c r="H621" i="1" s="1"/>
  <c r="I475" i="1"/>
  <c r="H624" i="1" s="1"/>
  <c r="G475" i="1"/>
  <c r="H622" i="1" s="1"/>
  <c r="G337" i="1"/>
  <c r="G351" i="1" s="1"/>
  <c r="D144" i="2"/>
  <c r="C23" i="10"/>
  <c r="F168" i="1"/>
  <c r="J139" i="1"/>
  <c r="F570" i="1"/>
  <c r="H256" i="1"/>
  <c r="H270" i="1" s="1"/>
  <c r="G62" i="2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K544" i="1"/>
  <c r="J617" i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H191" i="1"/>
  <c r="F551" i="1"/>
  <c r="C35" i="10"/>
  <c r="L308" i="1"/>
  <c r="D5" i="13"/>
  <c r="E16" i="13"/>
  <c r="C49" i="2"/>
  <c r="J654" i="1"/>
  <c r="J192" i="1"/>
  <c r="L569" i="1"/>
  <c r="I570" i="1"/>
  <c r="I544" i="1"/>
  <c r="G36" i="2"/>
  <c r="G49" i="2" s="1"/>
  <c r="J50" i="1"/>
  <c r="L564" i="1"/>
  <c r="G544" i="1"/>
  <c r="H544" i="1"/>
  <c r="K550" i="1"/>
  <c r="H192" i="1" l="1"/>
  <c r="G628" i="1" s="1"/>
  <c r="J628" i="1" s="1"/>
  <c r="I661" i="1"/>
  <c r="H659" i="1"/>
  <c r="H663" i="1" s="1"/>
  <c r="H671" i="1" s="1"/>
  <c r="F663" i="1"/>
  <c r="F666" i="1" s="1"/>
  <c r="F50" i="2"/>
  <c r="I660" i="1"/>
  <c r="E50" i="2"/>
  <c r="E127" i="2"/>
  <c r="C50" i="2"/>
  <c r="G192" i="1"/>
  <c r="G627" i="1" s="1"/>
  <c r="J627" i="1" s="1"/>
  <c r="F103" i="2"/>
  <c r="J624" i="1"/>
  <c r="C36" i="10"/>
  <c r="D103" i="2"/>
  <c r="L256" i="1"/>
  <c r="L270" i="1" s="1"/>
  <c r="G631" i="1" s="1"/>
  <c r="J631" i="1" s="1"/>
  <c r="F192" i="1"/>
  <c r="G626" i="1" s="1"/>
  <c r="J626" i="1" s="1"/>
  <c r="L433" i="1"/>
  <c r="G637" i="1" s="1"/>
  <c r="J637" i="1" s="1"/>
  <c r="J621" i="1"/>
  <c r="J622" i="1"/>
  <c r="I460" i="1"/>
  <c r="H641" i="1" s="1"/>
  <c r="C38" i="10"/>
  <c r="J641" i="1"/>
  <c r="L570" i="1"/>
  <c r="J623" i="1"/>
  <c r="C39" i="10"/>
  <c r="E103" i="2"/>
  <c r="C103" i="2"/>
  <c r="E144" i="2"/>
  <c r="G50" i="2"/>
  <c r="G103" i="2"/>
  <c r="C114" i="2"/>
  <c r="K551" i="1"/>
  <c r="H666" i="1"/>
  <c r="J646" i="1"/>
  <c r="C28" i="10"/>
  <c r="D25" i="10" s="1"/>
  <c r="C127" i="2"/>
  <c r="H647" i="1"/>
  <c r="J647" i="1" s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D15" i="10" l="1"/>
  <c r="C41" i="10"/>
  <c r="D39" i="10" s="1"/>
  <c r="D27" i="10"/>
  <c r="D23" i="10"/>
  <c r="C30" i="10"/>
  <c r="F671" i="1"/>
  <c r="C4" i="10" s="1"/>
  <c r="D24" i="10"/>
  <c r="D26" i="10"/>
  <c r="D16" i="10"/>
  <c r="D18" i="10"/>
  <c r="D19" i="10"/>
  <c r="D17" i="10"/>
  <c r="D11" i="10"/>
  <c r="D21" i="10"/>
  <c r="D10" i="10"/>
  <c r="D20" i="10"/>
  <c r="D22" i="10"/>
  <c r="D12" i="10"/>
  <c r="D13" i="10"/>
  <c r="C144" i="2"/>
  <c r="G636" i="1"/>
  <c r="J636" i="1" s="1"/>
  <c r="H645" i="1"/>
  <c r="J645" i="1" s="1"/>
  <c r="D33" i="13"/>
  <c r="D36" i="13" s="1"/>
  <c r="G663" i="1"/>
  <c r="I659" i="1"/>
  <c r="I663" i="1" s="1"/>
  <c r="J625" i="1"/>
  <c r="D37" i="10" l="1"/>
  <c r="D36" i="10"/>
  <c r="D38" i="10"/>
  <c r="D40" i="10"/>
  <c r="D35" i="10"/>
  <c r="H655" i="1"/>
  <c r="D28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<sst xmlns="http://schemas.openxmlformats.org/spreadsheetml/2006/main" count="3947" uniqueCount="914">
  <si>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</si>
  <si>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</si>
  <si>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</si>
  <si>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</si>
  <si>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</si>
  <si>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</si>
  <si>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</si>
  <si>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</si>
  <si>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</si>
  <si>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</si>
  <si>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</si>
  <si>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</si>
  <si>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</si>
  <si>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</si>
  <si>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</si>
  <si>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</si>
  <si>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</si>
  <si>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</si>
  <si>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</si>
  <si>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</si>
  <si>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</si>
  <si>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</si>
  <si>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</si>
  <si>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</si>
  <si>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</si>
  <si>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</si>
  <si>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</si>
  <si>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</si>
  <si>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</si>
  <si>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</si>
  <si>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</si>
  <si>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</si>
  <si>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</si>
  <si>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</si>
  <si>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</si>
  <si>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</si>
  <si>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</si>
  <si>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</si>
  <si>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</si>
  <si>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</si>
  <si>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</si>
  <si>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</si>
  <si>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</si>
  <si>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</si>
  <si>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</si>
  <si>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</si>
  <si>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</si>
  <si>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</si>
  <si>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</si>
  <si>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</si>
  <si>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</si>
  <si>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</si>
  <si>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</si>
  <si>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</si>
  <si>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</si>
  <si>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</si>
  <si>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</si>
  <si>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</si>
  <si>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</si>
  <si>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</si>
  <si>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</si>
  <si>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</si>
  <si>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</si>
  <si>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</si>
  <si>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</si>
  <si>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</si>
  <si>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</si>
  <si>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</si>
  <si>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</si>
  <si>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</si>
  <si>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</si>
  <si>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</si>
  <si>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</si>
  <si>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</si>
  <si>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</si>
  <si>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</si>
  <si>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</si>
  <si>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</si>
  <si>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</si>
  <si>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</si>
  <si>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</si>
  <si>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</si>
  <si>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</si>
  <si>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</si>
  <si>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</si>
  <si>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</si>
  <si>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</si>
  <si>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</si>
  <si>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</si>
  <si>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</si>
  <si>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</si>
  <si>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</si>
  <si>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</si>
  <si>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</si>
  <si>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</si>
  <si>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</si>
  <si>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</si>
  <si>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</si>
  <si>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</si>
  <si>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</si>
  <si>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</si>
  <si>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</si>
  <si>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</si>
  <si>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</si>
  <si>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</si>
  <si>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</si>
  <si>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</si>
  <si>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</si>
  <si>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</si>
  <si>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</si>
  <si>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</si>
  <si>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</si>
  <si>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</si>
  <si>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</si>
  <si>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</si>
  <si>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</si>
  <si>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</si>
  <si>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</si>
  <si>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</si>
  <si>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</si>
  <si>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</si>
  <si>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</si>
  <si>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</si>
  <si>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</si>
  <si>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</si>
  <si>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</si>
  <si>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</si>
  <si>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</si>
  <si>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</si>
  <si>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</si>
  <si>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</si>
  <si>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</si>
  <si>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</si>
  <si>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</si>
  <si>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</si>
  <si>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</si>
  <si>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</si>
  <si>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</si>
  <si>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</si>
  <si>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</si>
  <si>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</si>
  <si>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</si>
  <si>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</si>
  <si>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</si>
  <si>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</si>
  <si>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</si>
  <si>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</si>
  <si>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</si>
  <si>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</si>
  <si>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</si>
  <si>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</si>
  <si>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</si>
  <si>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</si>
  <si>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</si>
  <si>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</si>
  <si>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</si>
  <si>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</si>
  <si>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</si>
  <si>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</si>
  <si>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</si>
  <si>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</si>
  <si>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</si>
  <si>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</si>
  <si>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</si>
  <si>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</si>
  <si>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</si>
  <si>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</si>
  <si>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</si>
  <si>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</si>
  <si>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</si>
  <si>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</si>
  <si>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</si>
  <si>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</si>
  <si>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</si>
  <si>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</si>
  <si>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</si>
  <si>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</si>
  <si>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</si>
  <si>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</si>
  <si>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</si>
  <si>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</si>
  <si>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</si>
  <si>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</si>
  <si>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</si>
  <si>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</si>
  <si>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</si>
  <si>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</si>
  <si>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</si>
  <si>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</si>
  <si>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</si>
  <si>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</si>
  <si>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</si>
  <si>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</si>
  <si>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</si>
  <si>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</si>
  <si>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</si>
  <si>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</si>
  <si>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</si>
  <si>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</si>
  <si>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</si>
  <si>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</si>
  <si>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</si>
  <si>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</si>
  <si>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</si>
  <si>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</si>
  <si>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</si>
  <si>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</si>
  <si>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</si>
  <si>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</si>
  <si>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</si>
  <si>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</si>
  <si>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</si>
  <si>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</si>
  <si>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</si>
  <si>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</si>
  <si>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</si>
  <si>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</si>
  <si>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</si>
  <si>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</si>
  <si>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</si>
  <si>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</si>
  <si>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</si>
  <si>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</si>
  <si>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</si>
  <si>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</si>
  <si>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</si>
  <si>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</si>
  <si>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</si>
  <si>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</si>
  <si>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</si>
  <si>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</si>
  <si>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</si>
  <si>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</si>
  <si>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</si>
  <si>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</si>
  <si>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</si>
  <si>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</si>
  <si>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</si>
  <si>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</si>
  <si>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</si>
  <si>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</si>
  <si>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</si>
  <si>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</si>
  <si>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</si>
  <si>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</si>
  <si>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</si>
  <si>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</si>
  <si>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</si>
  <si>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</si>
  <si>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</si>
  <si>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</si>
  <si>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</si>
  <si>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</si>
  <si>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</si>
  <si>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</si>
  <si>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</si>
  <si>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</si>
  <si>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</si>
  <si>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</si>
  <si>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</si>
  <si>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</si>
  <si>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</si>
  <si>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</si>
  <si>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</si>
  <si>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</si>
  <si>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</si>
  <si>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</si>
  <si>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</si>
  <si>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</si>
  <si>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</si>
  <si>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</si>
  <si>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</si>
  <si>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</si>
  <si>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</si>
  <si>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</si>
  <si>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</si>
  <si>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</si>
  <si>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</si>
  <si>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</si>
  <si>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</si>
  <si>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</si>
  <si>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</si>
  <si>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</si>
  <si>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</si>
  <si>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</si>
  <si>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</si>
  <si>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</si>
  <si>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</si>
  <si>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</si>
  <si>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</si>
  <si>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</si>
  <si>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</si>
  <si>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</si>
  <si>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</si>
  <si>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</si>
  <si>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</si>
  <si>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</si>
  <si>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</si>
  <si>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</si>
  <si>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</si>
  <si>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</si>
  <si>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</si>
  <si>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</si>
  <si>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</si>
  <si>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</si>
  <si>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</si>
  <si>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</si>
  <si>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</si>
  <si>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</si>
  <si>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</si>
  <si>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</si>
  <si>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</si>
  <si>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</si>
  <si>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</si>
  <si>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</si>
  <si>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</si>
  <si>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</si>
  <si>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</si>
  <si>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</si>
  <si>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</si>
  <si>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</si>
  <si>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</si>
  <si>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</si>
  <si>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</si>
  <si>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</si>
  <si>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</si>
  <si>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</si>
  <si>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</si>
  <si>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</si>
  <si>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</si>
  <si>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</si>
  <si>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</si>
  <si>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</si>
  <si>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</si>
  <si>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</si>
  <si>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</si>
  <si>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</si>
  <si>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</si>
  <si>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</si>
  <si>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</si>
  <si>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</si>
  <si>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</si>
  <si>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</si>
  <si>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</si>
  <si>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</si>
  <si>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</si>
  <si>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</si>
  <si>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</si>
  <si>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</si>
  <si>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</si>
  <si>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</si>
  <si>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</si>
  <si>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</si>
  <si>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</si>
  <si>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</si>
  <si>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</si>
  <si>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</si>
  <si>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</si>
  <si>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</si>
  <si>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</si>
  <si>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</si>
  <si>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</si>
  <si>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</si>
  <si>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</si>
  <si>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</si>
  <si>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</si>
  <si>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</si>
  <si>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</si>
  <si>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</si>
  <si>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</si>
  <si>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</si>
  <si>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</si>
  <si>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</si>
  <si>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</si>
  <si>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</si>
  <si>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</si>
  <si>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</si>
  <si>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</si>
  <si>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</si>
  <si>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</si>
  <si>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</si>
  <si>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</si>
  <si>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</si>
  <si>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</si>
  <si>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</si>
  <si>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</si>
  <si>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</si>
  <si>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</si>
  <si>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</si>
  <si>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</si>
  <si>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</si>
  <si>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</si>
  <si>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</si>
  <si>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</si>
  <si>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</si>
  <si>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</si>
  <si>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</si>
  <si>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</si>
  <si>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</si>
  <si>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</si>
  <si>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</si>
  <si>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</si>
  <si>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</si>
  <si>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</si>
  <si>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</si>
  <si>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</si>
  <si>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</si>
  <si>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</si>
  <si>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</si>
  <si>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</si>
  <si>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</si>
  <si>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</si>
  <si>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</si>
  <si>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</si>
  <si>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</si>
  <si>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</si>
  <si>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</si>
  <si>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</si>
  <si>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</si>
  <si>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</si>
  <si>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</si>
  <si>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</si>
  <si>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</si>
  <si>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</si>
  <si>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</si>
  <si>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</si>
  <si>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</si>
  <si>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</si>
  <si>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</si>
  <si>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</si>
  <si>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</si>
  <si>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</si>
  <si>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</si>
  <si>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</si>
  <si>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</si>
  <si>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</si>
  <si>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</si>
  <si>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</si>
  <si>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</si>
  <si>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</si>
  <si>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</si>
  <si>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</si>
  <si>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</si>
  <si>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</si>
  <si>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</si>
  <si>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</si>
  <si>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</si>
  <si>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</si>
  <si>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</si>
  <si>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</si>
  <si>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</si>
  <si>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</si>
  <si>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</si>
  <si>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</si>
  <si>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</si>
  <si>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</si>
  <si>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</si>
  <si>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</si>
  <si>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</si>
  <si>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</si>
  <si>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</si>
  <si>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</si>
  <si>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</si>
  <si>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</si>
  <si>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</si>
  <si>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</si>
  <si>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</si>
  <si>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</si>
  <si>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</si>
  <si>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</si>
  <si>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</si>
  <si>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</si>
  <si>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</si>
  <si>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</si>
  <si>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</si>
  <si>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</si>
  <si>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</si>
  <si>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</si>
  <si>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</si>
  <si>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</si>
  <si>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</si>
  <si>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</si>
  <si>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</si>
  <si>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</si>
  <si>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</si>
  <si>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</si>
  <si>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</si>
  <si>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</si>
  <si>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</si>
  <si>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</si>
  <si>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</si>
  <si>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</si>
  <si>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</si>
  <si>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</si>
  <si>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</si>
  <si>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</si>
  <si>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</si>
  <si>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</si>
  <si>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</si>
  <si>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</si>
  <si>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</si>
  <si>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</si>
  <si>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</si>
  <si>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</si>
  <si>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</si>
  <si>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</si>
  <si>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</si>
  <si>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</si>
  <si>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</si>
  <si>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</si>
  <si>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</si>
  <si>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</si>
  <si>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</si>
  <si>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</si>
  <si>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</si>
  <si>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</si>
  <si>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</si>
  <si>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</si>
  <si>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</si>
  <si>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</si>
  <si>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</si>
  <si>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</si>
  <si>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</si>
  <si>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</si>
  <si>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</si>
  <si>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</si>
  <si>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</si>
  <si>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</si>
  <si>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</si>
  <si>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</si>
  <si>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</si>
  <si>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</si>
  <si>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</si>
  <si>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</si>
  <si>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</si>
  <si>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</si>
  <si>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</si>
  <si>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</si>
  <si>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</si>
  <si>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</si>
  <si>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</si>
  <si>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</si>
  <si>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</si>
  <si>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</si>
  <si>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</si>
  <si>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</si>
  <si>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</si>
  <si>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</si>
  <si>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</si>
  <si>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</si>
  <si>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</si>
  <si>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</si>
  <si>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</si>
  <si>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</si>
  <si>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</si>
  <si>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</si>
  <si>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</si>
  <si>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</si>
  <si>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</si>
  <si>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</si>
  <si>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</si>
  <si>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</si>
  <si>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</si>
  <si>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</si>
  <si>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</si>
  <si>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</si>
  <si>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</si>
  <si>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</si>
  <si>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</si>
  <si>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</si>
  <si>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</si>
  <si>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</si>
  <si>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</si>
  <si>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</si>
  <si>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</si>
  <si>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</si>
  <si>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</si>
  <si>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</si>
  <si>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</si>
  <si>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</si>
  <si>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</si>
  <si>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</si>
  <si>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</si>
  <si>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</si>
  <si>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</si>
  <si>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</si>
  <si>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</si>
  <si>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</si>
  <si>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</si>
  <si>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</si>
  <si>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</si>
  <si>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</si>
  <si>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</si>
  <si>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</si>
  <si>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</si>
  <si>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</si>
  <si>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</si>
  <si>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</si>
  <si>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</si>
  <si>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</si>
  <si>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</si>
  <si>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</si>
  <si>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</si>
  <si>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</si>
  <si>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</si>
  <si>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</si>
  <si>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</si>
  <si>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</si>
  <si>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</si>
  <si>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</si>
  <si>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</si>
  <si>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</si>
  <si>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</si>
  <si>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</si>
  <si>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</si>
  <si>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</si>
  <si>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</si>
  <si>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</si>
  <si>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</si>
  <si>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</si>
  <si>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</si>
  <si>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</si>
  <si>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</si>
  <si>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</si>
  <si>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</si>
  <si>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</si>
  <si>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</si>
  <si>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</si>
  <si>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</si>
  <si>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</si>
  <si>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</si>
  <si>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</si>
  <si>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</si>
  <si>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</si>
  <si>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</si>
  <si>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</si>
  <si>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</si>
  <si>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</si>
  <si>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</si>
  <si>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</si>
  <si>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</si>
  <si>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</si>
  <si>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</si>
  <si>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</si>
  <si>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</si>
  <si>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</si>
  <si>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</si>
  <si>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</si>
  <si>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</si>
  <si>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</si>
  <si>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</si>
  <si>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</si>
  <si>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</si>
  <si>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</si>
  <si>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</si>
  <si>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</si>
  <si>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</si>
  <si>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</si>
  <si>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</si>
  <si>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</si>
  <si>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</si>
  <si>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</si>
  <si>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</si>
  <si>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</si>
  <si>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</si>
  <si>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</si>
  <si>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</si>
  <si>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</si>
  <si>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</si>
  <si>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</si>
  <si>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</si>
  <si>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</si>
  <si>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</si>
  <si>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</si>
  <si>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</si>
  <si>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</si>
  <si>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</si>
  <si>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</si>
  <si>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</si>
  <si>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</si>
  <si>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</si>
  <si>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</si>
  <si>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</si>
  <si>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</si>
  <si>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</si>
  <si>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</si>
  <si>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</si>
  <si>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</si>
  <si>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</si>
  <si>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</si>
  <si>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</si>
  <si>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</si>
  <si>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</si>
  <si>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</si>
  <si>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</si>
  <si>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</si>
  <si>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</si>
  <si>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</si>
  <si>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</si>
  <si>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</si>
  <si>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</si>
  <si>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</si>
  <si>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</si>
  <si>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</si>
  <si>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</si>
  <si>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</si>
  <si>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</si>
  <si>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</si>
  <si>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</si>
  <si>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</si>
  <si>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</si>
  <si>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</si>
  <si>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</si>
  <si>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</si>
  <si>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</si>
  <si>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</si>
  <si>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</si>
  <si>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</si>
  <si>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</si>
  <si>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</si>
  <si>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</si>
  <si>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</si>
  <si>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</si>
  <si>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</si>
  <si>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</si>
  <si>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</si>
  <si>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</si>
  <si>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</si>
  <si>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</si>
  <si>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</si>
  <si>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</si>
  <si>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</si>
  <si>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</si>
  <si>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</si>
  <si>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</si>
  <si>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</si>
  <si>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</si>
  <si>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</si>
  <si>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</si>
  <si>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</si>
  <si>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</si>
  <si>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</si>
  <si>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</si>
  <si>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</si>
  <si>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</si>
  <si>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</si>
  <si>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</si>
  <si>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</si>
  <si>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</si>
  <si>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</si>
  <si>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</si>
  <si>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</si>
  <si>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</si>
  <si>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</si>
  <si>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</si>
  <si>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</si>
  <si>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</si>
  <si>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</si>
  <si>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</si>
  <si>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</si>
  <si>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</si>
  <si>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</si>
  <si>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</si>
  <si>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</si>
  <si>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</si>
  <si>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</si>
  <si>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</si>
  <si>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</si>
  <si>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</si>
  <si>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</si>
  <si>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</si>
  <si>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</si>
  <si>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</si>
  <si>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</si>
  <si>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</si>
  <si>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</si>
  <si>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</si>
  <si>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</si>
  <si>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</si>
  <si>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</si>
  <si>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</si>
  <si>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</si>
  <si>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</si>
  <si>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</si>
  <si>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</si>
  <si>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</si>
  <si>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</si>
  <si>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</si>
  <si>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</si>
  <si>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</si>
  <si>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</si>
  <si>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</si>
  <si>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</si>
  <si>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</si>
  <si>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</si>
  <si>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</si>
  <si>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</si>
  <si>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</si>
  <si>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</si>
  <si>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</si>
  <si>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</si>
  <si>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</si>
  <si>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</si>
  <si>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</si>
  <si>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</si>
  <si>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</si>
  <si>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</si>
  <si>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</si>
  <si>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</si>
  <si>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</si>
  <si>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</si>
  <si>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</si>
  <si>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</si>
  <si>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</si>
  <si>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</si>
  <si>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</si>
  <si>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</si>
  <si>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</si>
  <si>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</si>
  <si>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</si>
  <si>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</si>
  <si>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</si>
  <si>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</si>
  <si>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</si>
  <si>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</si>
  <si>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</si>
  <si>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</si>
  <si>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</si>
  <si>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</si>
  <si>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</si>
  <si>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</si>
  <si>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</si>
  <si>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</si>
  <si>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</si>
  <si>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</si>
  <si>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</si>
  <si>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</si>
  <si>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</si>
  <si>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</si>
  <si>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</si>
  <si>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</si>
  <si>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</si>
  <si>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</si>
  <si>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</si>
  <si>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</si>
  <si>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</si>
  <si>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</si>
  <si>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</si>
  <si>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</si>
  <si>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</si>
  <si>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</si>
  <si>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</si>
  <si>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</si>
  <si>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</si>
  <si>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</si>
  <si>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</si>
  <si>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</si>
  <si>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</si>
  <si>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</si>
  <si>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</si>
  <si>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</si>
  <si>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</si>
  <si>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</si>
  <si>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</si>
  <si>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</si>
  <si>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</si>
  <si>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</si>
  <si>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</si>
  <si>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</si>
  <si>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</si>
  <si>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</si>
  <si>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</si>
  <si>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</si>
  <si>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</si>
  <si>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</si>
  <si>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</si>
  <si>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</si>
  <si>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</si>
  <si>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</si>
  <si>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</si>
  <si>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</si>
  <si>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</si>
  <si>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</si>
  <si>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</si>
  <si>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</si>
  <si>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</si>
  <si>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</si>
  <si>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</si>
  <si>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</si>
  <si>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</si>
  <si>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</si>
  <si>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</si>
  <si>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</si>
  <si>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</si>
  <si>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</si>
  <si>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</si>
  <si>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</si>
  <si>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</si>
  <si>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</si>
  <si>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</si>
  <si>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</si>
  <si>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</si>
  <si>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</si>
  <si>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</si>
  <si>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</si>
  <si>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</si>
  <si>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</si>
  <si>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</si>
  <si>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</si>
  <si>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10/2008</t>
  </si>
  <si>
    <t>9/2009</t>
  </si>
  <si>
    <t>10/2013</t>
  </si>
  <si>
    <t>11/2013</t>
  </si>
  <si>
    <t>BATH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</si>
</sst>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39</v>
      </c>
      <c r="C2" s="21">
        <v>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15114.89+100</f>
        <v>15214.89</v>
      </c>
      <c r="G9" s="18"/>
      <c r="H9" s="18"/>
      <c r="I9" s="18"/>
      <c r="J9" s="67">
        <f>SUM(I438)</f>
        <v>49874.36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>
        <v>10686.82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798.68</v>
      </c>
      <c r="H13" s="18">
        <v>8985.33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7586.89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>
        <v>242.82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22801.78</v>
      </c>
      <c r="G19" s="41">
        <f>SUM(G9:G18)</f>
        <v>798.68</v>
      </c>
      <c r="H19" s="41">
        <f>SUM(H9:H18)</f>
        <v>19914.97</v>
      </c>
      <c r="I19" s="41">
        <f>SUM(I9:I18)</f>
        <v>0</v>
      </c>
      <c r="J19" s="41">
        <f>SUM(J9:J18)</f>
        <v>49874.36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9888.14</v>
      </c>
      <c r="G22" s="18">
        <v>798.68</v>
      </c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11065.99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1589.2</f>
        <v>1589.2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121.58+133.69+3.18</f>
        <v>258.45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19914.97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22801.78</v>
      </c>
      <c r="G32" s="41">
        <f>SUM(G22:G31)</f>
        <v>798.68</v>
      </c>
      <c r="H32" s="41">
        <f>SUM(H22:H31)</f>
        <v>19914.97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49874.36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0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49874.36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22801.78</v>
      </c>
      <c r="G51" s="41">
        <f>G50+G32</f>
        <v>798.68</v>
      </c>
      <c r="H51" s="41">
        <f>H50+H32</f>
        <v>19914.97</v>
      </c>
      <c r="I51" s="41">
        <f>I50+I32</f>
        <v>0</v>
      </c>
      <c r="J51" s="41">
        <f>J50+J32</f>
        <v>49874.36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1220222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1220222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354.56</v>
      </c>
      <c r="G95" s="18"/>
      <c r="H95" s="18"/>
      <c r="I95" s="18"/>
      <c r="J95" s="18">
        <v>65.28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11067.9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223.71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1383.12</v>
      </c>
      <c r="G109" s="18">
        <v>50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1961.3899999999999</v>
      </c>
      <c r="G110" s="41">
        <f>SUM(G95:G109)</f>
        <v>11117.9</v>
      </c>
      <c r="H110" s="41">
        <f>SUM(H95:H109)</f>
        <v>0</v>
      </c>
      <c r="I110" s="41">
        <f>SUM(I95:I109)</f>
        <v>0</v>
      </c>
      <c r="J110" s="41">
        <f>SUM(J95:J109)</f>
        <v>65.28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1222183.3899999999</v>
      </c>
      <c r="G111" s="41">
        <f>G59+G110</f>
        <v>11117.9</v>
      </c>
      <c r="H111" s="41">
        <f>H59+H78+H93+H110</f>
        <v>0</v>
      </c>
      <c r="I111" s="41">
        <f>I59+I110</f>
        <v>0</v>
      </c>
      <c r="J111" s="41">
        <f>J59+J110</f>
        <v>65.28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450682.51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278789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390.49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729862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24591.53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19681.849999999999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1075.8800000000001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409.96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45349.259999999995</v>
      </c>
      <c r="G135" s="41">
        <f>SUM(G122:G134)</f>
        <v>409.96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775211.26</v>
      </c>
      <c r="G139" s="41">
        <f>G120+SUM(G135:G136)</f>
        <v>409.96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27630.2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336+15009.29+2977.9</f>
        <v>18323.190000000002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13031.21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17977.55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15181.08</v>
      </c>
      <c r="G160" s="18">
        <v>2471.54</v>
      </c>
      <c r="H160" s="18">
        <v>2508.4499999999998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33158.629999999997</v>
      </c>
      <c r="G161" s="41">
        <f>SUM(G149:G160)</f>
        <v>15502.75</v>
      </c>
      <c r="H161" s="41">
        <f>SUM(H149:H160)</f>
        <v>48461.84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207.98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33366.61</v>
      </c>
      <c r="G168" s="41">
        <f>G146+G161+SUM(G162:G167)</f>
        <v>15502.75</v>
      </c>
      <c r="H168" s="41">
        <f>H146+H161+SUM(H162:H167)</f>
        <v>48461.84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27022.42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27022.42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6232.26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6232.26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6232.26</v>
      </c>
      <c r="G191" s="41">
        <f>G182+SUM(G187:G190)</f>
        <v>27022.42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2036993.52</v>
      </c>
      <c r="G192" s="47">
        <f>G111+G139+G168+G191</f>
        <v>54053.03</v>
      </c>
      <c r="H192" s="47">
        <f>H111+H139+H168+H191</f>
        <v>48461.84</v>
      </c>
      <c r="I192" s="47">
        <f>I111+I139+I168+I191</f>
        <v>0</v>
      </c>
      <c r="J192" s="47">
        <f>J111+J139+J191</f>
        <v>65.28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266462.82</v>
      </c>
      <c r="G196" s="18">
        <v>91908.33</v>
      </c>
      <c r="H196" s="18">
        <v>43834.06</v>
      </c>
      <c r="I196" s="18">
        <v>14355.11</v>
      </c>
      <c r="J196" s="18">
        <v>135.59</v>
      </c>
      <c r="K196" s="18">
        <v>531</v>
      </c>
      <c r="L196" s="19">
        <f>SUM(F196:K196)</f>
        <v>417226.91000000003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39518</v>
      </c>
      <c r="G197" s="18">
        <v>15080.6</v>
      </c>
      <c r="H197" s="18">
        <f>6089.86+3561.5</f>
        <v>9651.36</v>
      </c>
      <c r="I197" s="18"/>
      <c r="J197" s="18">
        <v>80</v>
      </c>
      <c r="K197" s="18"/>
      <c r="L197" s="19">
        <f>SUM(F197:K197)</f>
        <v>64329.96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3930</v>
      </c>
      <c r="G199" s="18">
        <v>738.52</v>
      </c>
      <c r="H199" s="18">
        <v>628.5</v>
      </c>
      <c r="I199" s="18">
        <v>37.22</v>
      </c>
      <c r="J199" s="18"/>
      <c r="K199" s="18">
        <v>325.5</v>
      </c>
      <c r="L199" s="19">
        <f>SUM(F199:K199)</f>
        <v>5659.7400000000007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8470.69</v>
      </c>
      <c r="G201" s="18">
        <v>841.46</v>
      </c>
      <c r="H201" s="18">
        <f>23622.47+315</f>
        <v>23937.47</v>
      </c>
      <c r="I201" s="18">
        <v>1121</v>
      </c>
      <c r="J201" s="18"/>
      <c r="K201" s="18"/>
      <c r="L201" s="19">
        <f t="shared" ref="L201:L207" si="0">SUM(F201:K201)</f>
        <v>34370.620000000003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442.5</v>
      </c>
      <c r="G202" s="18">
        <v>413.91</v>
      </c>
      <c r="H202" s="18">
        <f>15920.28+42.73</f>
        <v>15963.01</v>
      </c>
      <c r="I202" s="18">
        <v>60</v>
      </c>
      <c r="J202" s="18"/>
      <c r="K202" s="18"/>
      <c r="L202" s="19">
        <f t="shared" si="0"/>
        <v>16879.420000000002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1267.3900000000001</v>
      </c>
      <c r="G203" s="18">
        <v>102.93</v>
      </c>
      <c r="H203" s="18">
        <f>55006.12+1912.06</f>
        <v>56918.18</v>
      </c>
      <c r="I203" s="18">
        <v>212.3</v>
      </c>
      <c r="J203" s="18"/>
      <c r="K203" s="18">
        <v>1185.3900000000001</v>
      </c>
      <c r="L203" s="19">
        <f t="shared" si="0"/>
        <v>59686.19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84727.31</v>
      </c>
      <c r="G204" s="18">
        <v>30745.57</v>
      </c>
      <c r="H204" s="18">
        <v>2875.37</v>
      </c>
      <c r="I204" s="18">
        <v>1571.66</v>
      </c>
      <c r="J204" s="18">
        <v>863</v>
      </c>
      <c r="K204" s="18">
        <v>766.19</v>
      </c>
      <c r="L204" s="19">
        <f t="shared" si="0"/>
        <v>121549.1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27422.080000000002</v>
      </c>
      <c r="G206" s="18">
        <v>12109.28</v>
      </c>
      <c r="H206" s="18">
        <f>20547.3+778</f>
        <v>21325.3</v>
      </c>
      <c r="I206" s="18">
        <v>40401.29</v>
      </c>
      <c r="J206" s="18">
        <v>2545.6999999999998</v>
      </c>
      <c r="K206" s="18"/>
      <c r="L206" s="19">
        <f t="shared" si="0"/>
        <v>103803.65000000001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46271.65</v>
      </c>
      <c r="I207" s="18"/>
      <c r="J207" s="18"/>
      <c r="K207" s="18"/>
      <c r="L207" s="19">
        <f t="shared" si="0"/>
        <v>46271.65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f>2100+147.9</f>
        <v>2247.9</v>
      </c>
      <c r="I208" s="18">
        <v>75</v>
      </c>
      <c r="J208" s="18"/>
      <c r="K208" s="18"/>
      <c r="L208" s="19">
        <f>SUM(F208:K208)</f>
        <v>2322.9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432240.79000000004</v>
      </c>
      <c r="G210" s="41">
        <f t="shared" si="1"/>
        <v>151940.6</v>
      </c>
      <c r="H210" s="41">
        <f t="shared" si="1"/>
        <v>223652.79999999996</v>
      </c>
      <c r="I210" s="41">
        <f t="shared" si="1"/>
        <v>57833.58</v>
      </c>
      <c r="J210" s="41">
        <f t="shared" si="1"/>
        <v>3624.29</v>
      </c>
      <c r="K210" s="41">
        <f t="shared" si="1"/>
        <v>2808.08</v>
      </c>
      <c r="L210" s="41">
        <f t="shared" si="1"/>
        <v>872100.14000000013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214044.25</v>
      </c>
      <c r="I214" s="18"/>
      <c r="J214" s="18"/>
      <c r="K214" s="18"/>
      <c r="L214" s="19">
        <f>SUM(F214:K214)</f>
        <v>214044.25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v>101694.25</v>
      </c>
      <c r="I215" s="18"/>
      <c r="J215" s="18"/>
      <c r="K215" s="18"/>
      <c r="L215" s="19">
        <f>SUM(F215:K215)</f>
        <v>101694.25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>
        <v>1106.8399999999999</v>
      </c>
      <c r="I217" s="18"/>
      <c r="J217" s="18"/>
      <c r="K217" s="18"/>
      <c r="L217" s="19">
        <f>SUM(F217:K217)</f>
        <v>1106.8399999999999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v>133</v>
      </c>
      <c r="I219" s="18"/>
      <c r="J219" s="18"/>
      <c r="K219" s="18"/>
      <c r="L219" s="19">
        <f t="shared" ref="L219:L225" si="2">SUM(F219:K219)</f>
        <v>133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513.05999999999995</v>
      </c>
      <c r="G221" s="18">
        <v>42.21</v>
      </c>
      <c r="H221" s="18">
        <f>22214.01+567.62</f>
        <v>22781.629999999997</v>
      </c>
      <c r="I221" s="18">
        <v>22.37</v>
      </c>
      <c r="J221" s="18"/>
      <c r="K221" s="18">
        <v>478.71</v>
      </c>
      <c r="L221" s="19">
        <f t="shared" si="2"/>
        <v>23837.979999999996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64848.08</v>
      </c>
      <c r="I225" s="18"/>
      <c r="J225" s="18"/>
      <c r="K225" s="18"/>
      <c r="L225" s="19">
        <f t="shared" si="2"/>
        <v>64848.08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513.05999999999995</v>
      </c>
      <c r="G228" s="41">
        <f>SUM(G214:G227)</f>
        <v>42.21</v>
      </c>
      <c r="H228" s="41">
        <f>SUM(H214:H227)</f>
        <v>404608.05000000005</v>
      </c>
      <c r="I228" s="41">
        <f>SUM(I214:I227)</f>
        <v>22.37</v>
      </c>
      <c r="J228" s="41">
        <f>SUM(J214:J227)</f>
        <v>0</v>
      </c>
      <c r="K228" s="41">
        <f t="shared" si="3"/>
        <v>478.71</v>
      </c>
      <c r="L228" s="41">
        <f t="shared" si="3"/>
        <v>405664.4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168.58+510132.1</f>
        <v>510300.68</v>
      </c>
      <c r="I232" s="18"/>
      <c r="J232" s="18"/>
      <c r="K232" s="18"/>
      <c r="L232" s="19">
        <f>SUM(F232:K232)</f>
        <v>510300.68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87.5+150868.16</f>
        <v>150955.66</v>
      </c>
      <c r="I233" s="18"/>
      <c r="J233" s="18"/>
      <c r="K233" s="18"/>
      <c r="L233" s="19">
        <f>SUM(F233:K233)</f>
        <v>150955.66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18332.5</v>
      </c>
      <c r="I234" s="18"/>
      <c r="J234" s="18"/>
      <c r="K234" s="18"/>
      <c r="L234" s="19">
        <f>SUM(F234:K234)</f>
        <v>18332.5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>
        <v>419.99</v>
      </c>
      <c r="I235" s="18"/>
      <c r="J235" s="18"/>
      <c r="K235" s="18"/>
      <c r="L235" s="19">
        <f>SUM(F235:K235)</f>
        <v>419.99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11943.43</v>
      </c>
      <c r="I237" s="18"/>
      <c r="J237" s="18"/>
      <c r="K237" s="18"/>
      <c r="L237" s="19">
        <f t="shared" ref="L237:L243" si="4">SUM(F237:K237)</f>
        <v>11943.43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659.55</v>
      </c>
      <c r="G239" s="18">
        <v>54.72</v>
      </c>
      <c r="H239" s="18">
        <f>28560.87+743.92</f>
        <v>29304.789999999997</v>
      </c>
      <c r="I239" s="18">
        <v>28.76</v>
      </c>
      <c r="J239" s="18"/>
      <c r="K239" s="18">
        <v>615.48</v>
      </c>
      <c r="L239" s="19">
        <f t="shared" si="4"/>
        <v>30663.299999999996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24566.28</v>
      </c>
      <c r="I243" s="18"/>
      <c r="J243" s="18"/>
      <c r="K243" s="18"/>
      <c r="L243" s="19">
        <f t="shared" si="4"/>
        <v>24566.28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659.55</v>
      </c>
      <c r="G246" s="41">
        <f t="shared" si="5"/>
        <v>54.72</v>
      </c>
      <c r="H246" s="41">
        <f t="shared" si="5"/>
        <v>745823.33000000007</v>
      </c>
      <c r="I246" s="41">
        <f t="shared" si="5"/>
        <v>28.76</v>
      </c>
      <c r="J246" s="41">
        <f t="shared" si="5"/>
        <v>0</v>
      </c>
      <c r="K246" s="41">
        <f t="shared" si="5"/>
        <v>615.48</v>
      </c>
      <c r="L246" s="41">
        <f t="shared" si="5"/>
        <v>747181.84000000008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433413.4</v>
      </c>
      <c r="G256" s="41">
        <f t="shared" si="8"/>
        <v>152037.53</v>
      </c>
      <c r="H256" s="41">
        <f t="shared" si="8"/>
        <v>1374084.1800000002</v>
      </c>
      <c r="I256" s="41">
        <f t="shared" si="8"/>
        <v>57884.710000000006</v>
      </c>
      <c r="J256" s="41">
        <f t="shared" si="8"/>
        <v>3624.29</v>
      </c>
      <c r="K256" s="41">
        <f t="shared" si="8"/>
        <v>3902.27</v>
      </c>
      <c r="L256" s="41">
        <f t="shared" si="8"/>
        <v>2024946.3800000001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23848</v>
      </c>
      <c r="L259" s="19">
        <f>SUM(F259:K259)</f>
        <v>23848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2475.5500000000002</v>
      </c>
      <c r="L260" s="19">
        <f>SUM(F260:K260)</f>
        <v>2475.5500000000002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27022.42</v>
      </c>
      <c r="L262" s="19">
        <f>SUM(F262:K262)</f>
        <v>27022.42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53345.97</v>
      </c>
      <c r="L269" s="41">
        <f t="shared" si="9"/>
        <v>53345.97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433413.4</v>
      </c>
      <c r="G270" s="42">
        <f t="shared" si="11"/>
        <v>152037.53</v>
      </c>
      <c r="H270" s="42">
        <f t="shared" si="11"/>
        <v>1374084.1800000002</v>
      </c>
      <c r="I270" s="42">
        <f t="shared" si="11"/>
        <v>57884.710000000006</v>
      </c>
      <c r="J270" s="42">
        <f t="shared" si="11"/>
        <v>3624.29</v>
      </c>
      <c r="K270" s="42">
        <f t="shared" si="11"/>
        <v>57248.24</v>
      </c>
      <c r="L270" s="42">
        <f t="shared" si="11"/>
        <v>2078292.35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21102.78</v>
      </c>
      <c r="G276" s="18">
        <v>5026.83</v>
      </c>
      <c r="H276" s="18">
        <v>40</v>
      </c>
      <c r="I276" s="18">
        <v>3719.1</v>
      </c>
      <c r="J276" s="18"/>
      <c r="K276" s="18">
        <v>100</v>
      </c>
      <c r="L276" s="19">
        <f>SUM(F276:K276)</f>
        <v>29988.71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1100</v>
      </c>
      <c r="G281" s="18">
        <v>208.45</v>
      </c>
      <c r="H281" s="18">
        <f>6511+665</f>
        <v>7176</v>
      </c>
      <c r="I281" s="18">
        <v>6122.19</v>
      </c>
      <c r="J281" s="18"/>
      <c r="K281" s="18">
        <v>2911.1</v>
      </c>
      <c r="L281" s="19">
        <f t="shared" si="12"/>
        <v>17517.739999999998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>
        <v>619.39</v>
      </c>
      <c r="L282" s="19">
        <f t="shared" si="12"/>
        <v>619.39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>
        <v>336</v>
      </c>
      <c r="J283" s="18"/>
      <c r="K283" s="18"/>
      <c r="L283" s="19">
        <f t="shared" si="12"/>
        <v>336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22202.78</v>
      </c>
      <c r="G289" s="42">
        <f t="shared" si="13"/>
        <v>5235.28</v>
      </c>
      <c r="H289" s="42">
        <f t="shared" si="13"/>
        <v>7216</v>
      </c>
      <c r="I289" s="42">
        <f t="shared" si="13"/>
        <v>10177.289999999999</v>
      </c>
      <c r="J289" s="42">
        <f t="shared" si="13"/>
        <v>0</v>
      </c>
      <c r="K289" s="42">
        <f t="shared" si="13"/>
        <v>3630.49</v>
      </c>
      <c r="L289" s="41">
        <f t="shared" si="13"/>
        <v>48461.84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22202.78</v>
      </c>
      <c r="G337" s="41">
        <f t="shared" si="20"/>
        <v>5235.28</v>
      </c>
      <c r="H337" s="41">
        <f t="shared" si="20"/>
        <v>7216</v>
      </c>
      <c r="I337" s="41">
        <f t="shared" si="20"/>
        <v>10177.289999999999</v>
      </c>
      <c r="J337" s="41">
        <f t="shared" si="20"/>
        <v>0</v>
      </c>
      <c r="K337" s="41">
        <f t="shared" si="20"/>
        <v>3630.49</v>
      </c>
      <c r="L337" s="41">
        <f t="shared" si="20"/>
        <v>48461.84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22202.78</v>
      </c>
      <c r="G351" s="41">
        <f>G337</f>
        <v>5235.28</v>
      </c>
      <c r="H351" s="41">
        <f>H337</f>
        <v>7216</v>
      </c>
      <c r="I351" s="41">
        <f>I337</f>
        <v>10177.289999999999</v>
      </c>
      <c r="J351" s="41">
        <f>J337</f>
        <v>0</v>
      </c>
      <c r="K351" s="47">
        <f>K337+K350</f>
        <v>3630.49</v>
      </c>
      <c r="L351" s="41">
        <f>L337+L350</f>
        <v>48461.84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26638.5+84.15</f>
        <v>26722.65</v>
      </c>
      <c r="G357" s="18">
        <f>7188+17.64+37.45+2044.22+1818.6+270+133.91+141</f>
        <v>11650.82</v>
      </c>
      <c r="H357" s="18">
        <v>127.65</v>
      </c>
      <c r="I357" s="18">
        <f>763.78+44.72+11867.45+2426.82</f>
        <v>15102.77</v>
      </c>
      <c r="J357" s="18">
        <v>449.14</v>
      </c>
      <c r="K357" s="18"/>
      <c r="L357" s="13">
        <f>SUM(F357:K357)</f>
        <v>54053.03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26722.65</v>
      </c>
      <c r="G361" s="47">
        <f t="shared" si="22"/>
        <v>11650.82</v>
      </c>
      <c r="H361" s="47">
        <f t="shared" si="22"/>
        <v>127.65</v>
      </c>
      <c r="I361" s="47">
        <f t="shared" si="22"/>
        <v>15102.77</v>
      </c>
      <c r="J361" s="47">
        <f t="shared" si="22"/>
        <v>449.14</v>
      </c>
      <c r="K361" s="47">
        <f t="shared" si="22"/>
        <v>0</v>
      </c>
      <c r="L361" s="47">
        <f t="shared" si="22"/>
        <v>54053.03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14294.27</v>
      </c>
      <c r="G366" s="18"/>
      <c r="H366" s="18"/>
      <c r="I366" s="56">
        <f>SUM(F366:H366)</f>
        <v>14294.27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763.78+44.72</f>
        <v>808.5</v>
      </c>
      <c r="G367" s="63"/>
      <c r="H367" s="63"/>
      <c r="I367" s="56">
        <f>SUM(F367:H367)</f>
        <v>808.5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15102.77</v>
      </c>
      <c r="G368" s="47">
        <f>SUM(G366:G367)</f>
        <v>0</v>
      </c>
      <c r="H368" s="47">
        <f>SUM(H366:H367)</f>
        <v>0</v>
      </c>
      <c r="I368" s="47">
        <f>SUM(I366:I367)</f>
        <v>15102.77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30.36</v>
      </c>
      <c r="I396" s="18"/>
      <c r="J396" s="24" t="s">
        <v>289</v>
      </c>
      <c r="K396" s="24" t="s">
        <v>289</v>
      </c>
      <c r="L396" s="56">
        <f t="shared" si="26"/>
        <v>30.36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34.92</v>
      </c>
      <c r="I397" s="18"/>
      <c r="J397" s="24" t="s">
        <v>289</v>
      </c>
      <c r="K397" s="24" t="s">
        <v>289</v>
      </c>
      <c r="L397" s="56">
        <f t="shared" si="26"/>
        <v>34.92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65.28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65.28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65.28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65.28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49874.36</v>
      </c>
      <c r="H438" s="18"/>
      <c r="I438" s="56">
        <f t="shared" ref="I438:I444" si="33">SUM(F438:H438)</f>
        <v>49874.36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49874.36</v>
      </c>
      <c r="H445" s="13">
        <f>SUM(H438:H444)</f>
        <v>0</v>
      </c>
      <c r="I445" s="13">
        <f>SUM(I438:I444)</f>
        <v>49874.36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49874.36</v>
      </c>
      <c r="H458" s="18"/>
      <c r="I458" s="56">
        <f t="shared" si="34"/>
        <v>49874.36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49874.36</v>
      </c>
      <c r="H459" s="83">
        <f>SUM(H453:H458)</f>
        <v>0</v>
      </c>
      <c r="I459" s="83">
        <f>SUM(I453:I458)</f>
        <v>49874.36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49874.36</v>
      </c>
      <c r="H460" s="42">
        <f>H451+H459</f>
        <v>0</v>
      </c>
      <c r="I460" s="42">
        <f>I451+I459</f>
        <v>49874.36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41298.829999999376</v>
      </c>
      <c r="G464" s="18">
        <v>0</v>
      </c>
      <c r="H464" s="18">
        <v>0</v>
      </c>
      <c r="I464" s="18">
        <v>0</v>
      </c>
      <c r="J464" s="18">
        <v>49809.079999999994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2036993.52</v>
      </c>
      <c r="G467" s="18">
        <v>54053.03</v>
      </c>
      <c r="H467" s="18">
        <v>48461.84</v>
      </c>
      <c r="I467" s="18"/>
      <c r="J467" s="18">
        <v>65.28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2036993.52</v>
      </c>
      <c r="G469" s="53">
        <f>SUM(G467:G468)</f>
        <v>54053.03</v>
      </c>
      <c r="H469" s="53">
        <f>SUM(H467:H468)</f>
        <v>48461.84</v>
      </c>
      <c r="I469" s="53">
        <f>SUM(I467:I468)</f>
        <v>0</v>
      </c>
      <c r="J469" s="53">
        <f>SUM(J467:J468)</f>
        <v>65.28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2067463.87+10828.48</f>
        <v>2078292.35</v>
      </c>
      <c r="G471" s="18">
        <v>54053.03</v>
      </c>
      <c r="H471" s="18">
        <v>48461.84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2078292.35</v>
      </c>
      <c r="G473" s="53">
        <f>SUM(G471:G472)</f>
        <v>54053.03</v>
      </c>
      <c r="H473" s="53">
        <f>SUM(H471:H472)</f>
        <v>48461.84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49874.359999999993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5</v>
      </c>
      <c r="G489" s="154">
        <v>4</v>
      </c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32000</v>
      </c>
      <c r="G492" s="18">
        <v>69830</v>
      </c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f>6390.5+6644.3+6911.19</f>
        <v>19945.989999999998</v>
      </c>
      <c r="G494" s="18">
        <v>52372.5</v>
      </c>
      <c r="H494" s="18"/>
      <c r="I494" s="18"/>
      <c r="J494" s="18"/>
      <c r="K494" s="53">
        <f>SUM(F494:J494)</f>
        <v>72318.489999999991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6390.5</v>
      </c>
      <c r="G496" s="18">
        <v>17457.5</v>
      </c>
      <c r="H496" s="18"/>
      <c r="I496" s="18"/>
      <c r="J496" s="18"/>
      <c r="K496" s="53">
        <f t="shared" si="35"/>
        <v>23848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13555.489999999998</v>
      </c>
      <c r="G497" s="205">
        <f>G494-G496</f>
        <v>34915</v>
      </c>
      <c r="H497" s="205"/>
      <c r="I497" s="205"/>
      <c r="J497" s="205"/>
      <c r="K497" s="206">
        <f t="shared" si="35"/>
        <v>48470.49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276.08+542.99</f>
        <v>819.06999999999994</v>
      </c>
      <c r="G498" s="18">
        <f>567.37+1137.85</f>
        <v>1705.2199999999998</v>
      </c>
      <c r="H498" s="18"/>
      <c r="I498" s="18"/>
      <c r="J498" s="18"/>
      <c r="K498" s="53">
        <f t="shared" si="35"/>
        <v>2524.29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14374.559999999998</v>
      </c>
      <c r="G499" s="42">
        <f>SUM(G497:G498)</f>
        <v>36620.22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50994.78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f>6644.3</f>
        <v>6644.3</v>
      </c>
      <c r="G500" s="205">
        <v>17457.5</v>
      </c>
      <c r="H500" s="205"/>
      <c r="I500" s="205"/>
      <c r="J500" s="205"/>
      <c r="K500" s="206">
        <f t="shared" si="35"/>
        <v>24101.8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542.99</v>
      </c>
      <c r="G501" s="18">
        <v>1137.8499999999999</v>
      </c>
      <c r="H501" s="18"/>
      <c r="I501" s="18"/>
      <c r="J501" s="18"/>
      <c r="K501" s="53">
        <f t="shared" si="35"/>
        <v>1680.84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7187.29</v>
      </c>
      <c r="G502" s="42">
        <f>SUM(G500:G501)</f>
        <v>18595.349999999999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25782.639999999999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39518</v>
      </c>
      <c r="G520" s="18">
        <v>15080.6</v>
      </c>
      <c r="H520" s="18">
        <f>6089.86+3561.5</f>
        <v>9651.36</v>
      </c>
      <c r="I520" s="18"/>
      <c r="J520" s="18">
        <v>80</v>
      </c>
      <c r="K520" s="18"/>
      <c r="L520" s="88">
        <f>SUM(F520:K520)</f>
        <v>64329.96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101694.25</v>
      </c>
      <c r="I521" s="18"/>
      <c r="J521" s="18"/>
      <c r="K521" s="18"/>
      <c r="L521" s="88">
        <f>SUM(F521:K521)</f>
        <v>101694.25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87.5+150868.16</f>
        <v>150955.66</v>
      </c>
      <c r="I522" s="18"/>
      <c r="J522" s="18"/>
      <c r="K522" s="18"/>
      <c r="L522" s="88">
        <f>SUM(F522:K522)</f>
        <v>150955.66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39518</v>
      </c>
      <c r="G523" s="108">
        <f t="shared" ref="G523:L523" si="36">SUM(G520:G522)</f>
        <v>15080.6</v>
      </c>
      <c r="H523" s="108">
        <f t="shared" si="36"/>
        <v>262301.27</v>
      </c>
      <c r="I523" s="108">
        <f t="shared" si="36"/>
        <v>0</v>
      </c>
      <c r="J523" s="108">
        <f t="shared" si="36"/>
        <v>80</v>
      </c>
      <c r="K523" s="108">
        <f t="shared" si="36"/>
        <v>0</v>
      </c>
      <c r="L523" s="89">
        <f t="shared" si="36"/>
        <v>316979.87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10189.709999999999</v>
      </c>
      <c r="I525" s="18"/>
      <c r="J525" s="18"/>
      <c r="K525" s="18"/>
      <c r="L525" s="88">
        <f>SUM(F525:K525)</f>
        <v>10189.709999999999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v>133</v>
      </c>
      <c r="I526" s="18"/>
      <c r="J526" s="18"/>
      <c r="K526" s="18"/>
      <c r="L526" s="88">
        <f>SUM(F526:K526)</f>
        <v>133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11943.43</v>
      </c>
      <c r="I527" s="18"/>
      <c r="J527" s="18"/>
      <c r="K527" s="18"/>
      <c r="L527" s="88">
        <f>SUM(F527:K527)</f>
        <v>11943.43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22266.14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22266.14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11847</v>
      </c>
      <c r="I530" s="18"/>
      <c r="J530" s="18"/>
      <c r="K530" s="18"/>
      <c r="L530" s="88">
        <f>SUM(F530:K530)</f>
        <v>11847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2962</v>
      </c>
      <c r="I531" s="18"/>
      <c r="J531" s="18"/>
      <c r="K531" s="18"/>
      <c r="L531" s="88">
        <f>SUM(F531:K531)</f>
        <v>2962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6347</v>
      </c>
      <c r="I532" s="18"/>
      <c r="J532" s="18"/>
      <c r="K532" s="18"/>
      <c r="L532" s="88">
        <f>SUM(F532:K532)</f>
        <v>6347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21156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21156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5822.51</v>
      </c>
      <c r="I541" s="18"/>
      <c r="J541" s="18"/>
      <c r="K541" s="18"/>
      <c r="L541" s="88">
        <f>SUM(F541:K541)</f>
        <v>5822.51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815.85</v>
      </c>
      <c r="I542" s="18"/>
      <c r="J542" s="18"/>
      <c r="K542" s="18"/>
      <c r="L542" s="88">
        <f>SUM(F542:K542)</f>
        <v>815.85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6638.3600000000006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6638.3600000000006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39518</v>
      </c>
      <c r="G544" s="89">
        <f t="shared" ref="G544:L544" si="41">G523+G528+G533+G538+G543</f>
        <v>15080.6</v>
      </c>
      <c r="H544" s="89">
        <f t="shared" si="41"/>
        <v>312361.77</v>
      </c>
      <c r="I544" s="89">
        <f t="shared" si="41"/>
        <v>0</v>
      </c>
      <c r="J544" s="89">
        <f t="shared" si="41"/>
        <v>80</v>
      </c>
      <c r="K544" s="89">
        <f t="shared" si="41"/>
        <v>0</v>
      </c>
      <c r="L544" s="89">
        <f t="shared" si="41"/>
        <v>367040.37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64329.96</v>
      </c>
      <c r="G548" s="87">
        <f>L525</f>
        <v>10189.709999999999</v>
      </c>
      <c r="H548" s="87">
        <f>L530</f>
        <v>11847</v>
      </c>
      <c r="I548" s="87">
        <f>L535</f>
        <v>0</v>
      </c>
      <c r="J548" s="87">
        <f>L540</f>
        <v>0</v>
      </c>
      <c r="K548" s="87">
        <f>SUM(F548:J548)</f>
        <v>86366.67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101694.25</v>
      </c>
      <c r="G549" s="87">
        <f>L526</f>
        <v>133</v>
      </c>
      <c r="H549" s="87">
        <f>L531</f>
        <v>2962</v>
      </c>
      <c r="I549" s="87">
        <f>L536</f>
        <v>0</v>
      </c>
      <c r="J549" s="87">
        <f>L541</f>
        <v>5822.51</v>
      </c>
      <c r="K549" s="87">
        <f>SUM(F549:J549)</f>
        <v>110611.76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150955.66</v>
      </c>
      <c r="G550" s="87">
        <f>L527</f>
        <v>11943.43</v>
      </c>
      <c r="H550" s="87">
        <f>L532</f>
        <v>6347</v>
      </c>
      <c r="I550" s="87">
        <f>L537</f>
        <v>0</v>
      </c>
      <c r="J550" s="87">
        <f>L542</f>
        <v>815.85</v>
      </c>
      <c r="K550" s="87">
        <f>SUM(F550:J550)</f>
        <v>170061.94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316979.87</v>
      </c>
      <c r="G551" s="89">
        <f t="shared" si="42"/>
        <v>22266.14</v>
      </c>
      <c r="H551" s="89">
        <f t="shared" si="42"/>
        <v>21156</v>
      </c>
      <c r="I551" s="89">
        <f t="shared" si="42"/>
        <v>0</v>
      </c>
      <c r="J551" s="89">
        <f t="shared" si="42"/>
        <v>6638.3600000000006</v>
      </c>
      <c r="K551" s="89">
        <f t="shared" si="42"/>
        <v>367040.37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20763.03</v>
      </c>
      <c r="G556" s="18">
        <v>4983.88</v>
      </c>
      <c r="H556" s="18"/>
      <c r="I556" s="18">
        <v>1263.9000000000001</v>
      </c>
      <c r="J556" s="18"/>
      <c r="K556" s="18"/>
      <c r="L556" s="88">
        <f>SUM(F556:K556)</f>
        <v>27010.81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20763.03</v>
      </c>
      <c r="G559" s="108">
        <f t="shared" si="43"/>
        <v>4983.88</v>
      </c>
      <c r="H559" s="108">
        <f t="shared" si="43"/>
        <v>0</v>
      </c>
      <c r="I559" s="108">
        <f t="shared" si="43"/>
        <v>1263.9000000000001</v>
      </c>
      <c r="J559" s="108">
        <f t="shared" si="43"/>
        <v>0</v>
      </c>
      <c r="K559" s="108">
        <f t="shared" si="43"/>
        <v>0</v>
      </c>
      <c r="L559" s="89">
        <f t="shared" si="43"/>
        <v>27010.81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20763.03</v>
      </c>
      <c r="G570" s="89">
        <f t="shared" ref="G570:L570" si="46">G559+G564+G569</f>
        <v>4983.88</v>
      </c>
      <c r="H570" s="89">
        <f t="shared" si="46"/>
        <v>0</v>
      </c>
      <c r="I570" s="89">
        <f t="shared" si="46"/>
        <v>1263.9000000000001</v>
      </c>
      <c r="J570" s="89">
        <f t="shared" si="46"/>
        <v>0</v>
      </c>
      <c r="K570" s="89">
        <f t="shared" si="46"/>
        <v>0</v>
      </c>
      <c r="L570" s="89">
        <f t="shared" si="46"/>
        <v>27010.81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214044.25</v>
      </c>
      <c r="H574" s="18">
        <v>426882.1</v>
      </c>
      <c r="I574" s="87">
        <f>SUM(F574:H574)</f>
        <v>640926.35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4"/>
      <c r="H575" s="18">
        <v>83250</v>
      </c>
      <c r="I575" s="87">
        <f t="shared" ref="I575:I586" si="47">SUM(F575:H575)</f>
        <v>83250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>SUM(F577:H577)</f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3561.5</v>
      </c>
      <c r="G578" s="18"/>
      <c r="H578" s="18">
        <v>66281.22</v>
      </c>
      <c r="I578" s="87">
        <f>SUM(F578:H578)</f>
        <v>69842.720000000001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>
        <v>16999.47</v>
      </c>
      <c r="H579" s="18">
        <v>37482.230000000003</v>
      </c>
      <c r="I579" s="87">
        <f>SUM(F579:H579)</f>
        <v>54481.700000000004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>
        <v>34249.379999999997</v>
      </c>
      <c r="H581" s="18">
        <v>47104.71</v>
      </c>
      <c r="I581" s="87">
        <f t="shared" si="47"/>
        <v>81354.09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>
        <v>50445.4</v>
      </c>
      <c r="H582" s="18"/>
      <c r="I582" s="87">
        <f t="shared" si="47"/>
        <v>50445.4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18332.5</v>
      </c>
      <c r="I584" s="87">
        <f t="shared" si="47"/>
        <v>18332.5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44264.45</v>
      </c>
      <c r="I590" s="18">
        <v>59025.57</v>
      </c>
      <c r="J590" s="18">
        <v>22982.76</v>
      </c>
      <c r="K590" s="104">
        <f t="shared" ref="K590:K596" si="48">SUM(H590:J590)</f>
        <v>126272.77999999998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>
        <v>5822.51</v>
      </c>
      <c r="J591" s="18">
        <v>815.85</v>
      </c>
      <c r="K591" s="104">
        <f t="shared" si="48"/>
        <v>6638.3600000000006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767.67</v>
      </c>
      <c r="K592" s="104">
        <f t="shared" si="48"/>
        <v>767.67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2007.2</v>
      </c>
      <c r="I594" s="18"/>
      <c r="J594" s="18"/>
      <c r="K594" s="104">
        <f t="shared" si="48"/>
        <v>2007.2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46271.649999999994</v>
      </c>
      <c r="I597" s="108">
        <f>SUM(I590:I596)</f>
        <v>64848.08</v>
      </c>
      <c r="J597" s="108">
        <f>SUM(J590:J596)</f>
        <v>24566.279999999995</v>
      </c>
      <c r="K597" s="108">
        <f>SUM(K590:K596)</f>
        <v>135686.01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3624.29</v>
      </c>
      <c r="I603" s="18"/>
      <c r="J603" s="18"/>
      <c r="K603" s="104">
        <f>SUM(H603:J603)</f>
        <v>3624.29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3624.29</v>
      </c>
      <c r="I604" s="108">
        <f>SUM(I601:I603)</f>
        <v>0</v>
      </c>
      <c r="J604" s="108">
        <f>SUM(J601:J603)</f>
        <v>0</v>
      </c>
      <c r="K604" s="108">
        <f>SUM(K601:K603)</f>
        <v>3624.29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3200</v>
      </c>
      <c r="G610" s="18">
        <v>682.67</v>
      </c>
      <c r="H610" s="18">
        <v>628.5</v>
      </c>
      <c r="I610" s="18"/>
      <c r="J610" s="18"/>
      <c r="K610" s="18"/>
      <c r="L610" s="88">
        <f>SUM(F610:K610)</f>
        <v>4511.17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>
        <v>1106.8399999999999</v>
      </c>
      <c r="I611" s="18"/>
      <c r="J611" s="18"/>
      <c r="K611" s="18"/>
      <c r="L611" s="88">
        <f>SUM(F611:K611)</f>
        <v>1106.8399999999999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>
        <v>419.99</v>
      </c>
      <c r="I612" s="18"/>
      <c r="J612" s="18"/>
      <c r="K612" s="18"/>
      <c r="L612" s="88">
        <f>SUM(F612:K612)</f>
        <v>419.99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3200</v>
      </c>
      <c r="G613" s="108">
        <f t="shared" si="49"/>
        <v>682.67</v>
      </c>
      <c r="H613" s="108">
        <f t="shared" si="49"/>
        <v>2155.33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6038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22801.78</v>
      </c>
      <c r="H616" s="109">
        <f>SUM(F51)</f>
        <v>22801.78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798.68</v>
      </c>
      <c r="H617" s="109">
        <f>SUM(G51)</f>
        <v>798.68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19914.97</v>
      </c>
      <c r="H618" s="109">
        <f>SUM(H51)</f>
        <v>19914.97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49874.36</v>
      </c>
      <c r="H620" s="109">
        <f>SUM(J51)</f>
        <v>49874.36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49874.36</v>
      </c>
      <c r="H625" s="109">
        <f>J475</f>
        <v>49874.359999999993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2036993.52</v>
      </c>
      <c r="H626" s="104">
        <f>SUM(F467)</f>
        <v>2036993.52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54053.03</v>
      </c>
      <c r="H627" s="104">
        <f>SUM(G467)</f>
        <v>54053.03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48461.84</v>
      </c>
      <c r="H628" s="104">
        <f>SUM(H467)</f>
        <v>48461.84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65.28</v>
      </c>
      <c r="H630" s="104">
        <f>SUM(J467)</f>
        <v>65.28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2078292.35</v>
      </c>
      <c r="H631" s="104">
        <f>SUM(F471)</f>
        <v>2078292.35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48461.84</v>
      </c>
      <c r="H632" s="104">
        <f>SUM(H471)</f>
        <v>48461.84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15102.77</v>
      </c>
      <c r="H633" s="104">
        <f>I368</f>
        <v>15102.77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54053.03</v>
      </c>
      <c r="H634" s="104">
        <f>SUM(G471)</f>
        <v>54053.03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65.28</v>
      </c>
      <c r="H636" s="164">
        <f>SUM(J467)</f>
        <v>65.28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49874.36</v>
      </c>
      <c r="H639" s="104">
        <f>SUM(G460)</f>
        <v>49874.36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49874.36</v>
      </c>
      <c r="H641" s="104">
        <f>SUM(I460)</f>
        <v>49874.36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65.28</v>
      </c>
      <c r="H643" s="104">
        <f>H407</f>
        <v>65.28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65.28</v>
      </c>
      <c r="H645" s="104">
        <f>L407</f>
        <v>65.28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135686.01</v>
      </c>
      <c r="H646" s="104">
        <f>L207+L225+L243</f>
        <v>135686.01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3624.29</v>
      </c>
      <c r="H647" s="104">
        <f>(J256+J337)-(J254+J335)</f>
        <v>3624.29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46271.65</v>
      </c>
      <c r="H648" s="104">
        <f>H597</f>
        <v>46271.649999999994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64848.08</v>
      </c>
      <c r="H649" s="104">
        <f>I597</f>
        <v>64848.08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24566.28</v>
      </c>
      <c r="H650" s="104">
        <f>J597</f>
        <v>24566.279999999995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27022.42</v>
      </c>
      <c r="H651" s="104">
        <f>K262+K344</f>
        <v>27022.42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974615.01000000013</v>
      </c>
      <c r="G659" s="19">
        <f>(L228+L308+L358)</f>
        <v>405664.4</v>
      </c>
      <c r="H659" s="19">
        <f>(L246+L327+L359)</f>
        <v>747181.84000000008</v>
      </c>
      <c r="I659" s="19">
        <f>SUM(F659:H659)</f>
        <v>2127461.25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11117.9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11117.9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46271.65</v>
      </c>
      <c r="G661" s="19">
        <f>(L225+L305)-(J225+J305)</f>
        <v>64848.08</v>
      </c>
      <c r="H661" s="19">
        <f>(L243+L324)-(J243+J324)</f>
        <v>24566.28</v>
      </c>
      <c r="I661" s="19">
        <f>SUM(F661:H661)</f>
        <v>135686.01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11696.96</v>
      </c>
      <c r="G662" s="200">
        <f>SUM(G574:G586)+SUM(I601:I603)+L611</f>
        <v>316845.34000000003</v>
      </c>
      <c r="H662" s="200">
        <f>SUM(H574:H586)+SUM(J601:J603)+L612</f>
        <v>679752.74999999988</v>
      </c>
      <c r="I662" s="19">
        <f>SUM(F662:H662)</f>
        <v>1008295.0499999999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905528.50000000012</v>
      </c>
      <c r="G663" s="19">
        <f>G659-SUM(G660:G662)</f>
        <v>23970.979999999981</v>
      </c>
      <c r="H663" s="19">
        <f>H659-SUM(H660:H662)</f>
        <v>42862.810000000172</v>
      </c>
      <c r="I663" s="19">
        <f>I659-SUM(I660:I662)</f>
        <v>972362.29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54.66</v>
      </c>
      <c r="G664" s="249"/>
      <c r="H664" s="249"/>
      <c r="I664" s="19">
        <f>SUM(F664:H664)</f>
        <v>54.66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16566.57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17789.28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-23970.98</v>
      </c>
      <c r="H668" s="18">
        <v>-42862.81</v>
      </c>
      <c r="I668" s="19">
        <f>SUM(F668:H668)</f>
        <v>-66833.789999999994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16566.57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16566.57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B19" sqref="B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BATH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266462.82</v>
      </c>
      <c r="C9" s="230">
        <f>'DOE25'!G196+'DOE25'!G214+'DOE25'!G232+'DOE25'!G275+'DOE25'!G294+'DOE25'!G313</f>
        <v>91908.33</v>
      </c>
    </row>
    <row r="10" spans="1:3" x14ac:dyDescent="0.2">
      <c r="A10" t="s">
        <v>779</v>
      </c>
      <c r="B10" s="241">
        <v>262576.32</v>
      </c>
      <c r="C10" s="241">
        <f>91908.33-C12</f>
        <v>91611.01</v>
      </c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>
        <v>3886.5</v>
      </c>
      <c r="C12" s="241">
        <v>297.32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266462.82</v>
      </c>
      <c r="C13" s="232">
        <f>SUM(C10:C12)</f>
        <v>91908.33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60620.78</v>
      </c>
      <c r="C18" s="230">
        <f>'DOE25'!G197+'DOE25'!G215+'DOE25'!G233+'DOE25'!G276+'DOE25'!G295+'DOE25'!G314</f>
        <v>20107.43</v>
      </c>
    </row>
    <row r="19" spans="1:3" x14ac:dyDescent="0.2">
      <c r="A19" t="s">
        <v>779</v>
      </c>
      <c r="B19" s="241">
        <f>60206.03+339.75</f>
        <v>60545.78</v>
      </c>
      <c r="C19" s="241">
        <f>20107.43-5.74</f>
        <v>20101.689999999999</v>
      </c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>
        <v>75</v>
      </c>
      <c r="C21" s="241">
        <v>5.74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60620.78</v>
      </c>
      <c r="C22" s="232">
        <f>SUM(C19:C21)</f>
        <v>20107.43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3930</v>
      </c>
      <c r="C36" s="236">
        <f>'DOE25'!G199+'DOE25'!G217+'DOE25'!G235+'DOE25'!G278+'DOE25'!G297+'DOE25'!G316</f>
        <v>738.52</v>
      </c>
    </row>
    <row r="37" spans="1:3" x14ac:dyDescent="0.2">
      <c r="A37" t="s">
        <v>779</v>
      </c>
      <c r="B37" s="241">
        <v>3200</v>
      </c>
      <c r="C37" s="241">
        <f>-55.85+738.52</f>
        <v>682.67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v>730</v>
      </c>
      <c r="C39" s="241">
        <v>55.85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3930</v>
      </c>
      <c r="C40" s="232">
        <f>SUM(C37:C39)</f>
        <v>738.52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BATH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1484070.78</v>
      </c>
      <c r="D5" s="20">
        <f>SUM('DOE25'!L196:L199)+SUM('DOE25'!L214:L217)+SUM('DOE25'!L232:L235)-F5-G5</f>
        <v>1482998.69</v>
      </c>
      <c r="E5" s="244"/>
      <c r="F5" s="256">
        <f>SUM('DOE25'!J196:J199)+SUM('DOE25'!J214:J217)+SUM('DOE25'!J232:J235)</f>
        <v>215.59</v>
      </c>
      <c r="G5" s="53">
        <f>SUM('DOE25'!K196:K199)+SUM('DOE25'!K214:K217)+SUM('DOE25'!K232:K235)</f>
        <v>856.5</v>
      </c>
      <c r="H5" s="260"/>
    </row>
    <row r="6" spans="1:9" x14ac:dyDescent="0.2">
      <c r="A6" s="32">
        <v>2100</v>
      </c>
      <c r="B6" t="s">
        <v>801</v>
      </c>
      <c r="C6" s="246">
        <f t="shared" si="0"/>
        <v>46447.05</v>
      </c>
      <c r="D6" s="20">
        <f>'DOE25'!L201+'DOE25'!L219+'DOE25'!L237-F6-G6</f>
        <v>46447.05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16879.420000000002</v>
      </c>
      <c r="D7" s="20">
        <f>'DOE25'!L202+'DOE25'!L220+'DOE25'!L238-F7-G7</f>
        <v>16879.420000000002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76279</v>
      </c>
      <c r="D8" s="244"/>
      <c r="E8" s="20">
        <f>'DOE25'!L203+'DOE25'!L221+'DOE25'!L239-F8-G8-D9-D11</f>
        <v>73999.42</v>
      </c>
      <c r="F8" s="256">
        <f>'DOE25'!J203+'DOE25'!J221+'DOE25'!J239</f>
        <v>0</v>
      </c>
      <c r="G8" s="53">
        <f>'DOE25'!K203+'DOE25'!K221+'DOE25'!K239</f>
        <v>2279.58</v>
      </c>
      <c r="H8" s="260"/>
    </row>
    <row r="9" spans="1:9" x14ac:dyDescent="0.2">
      <c r="A9" s="32">
        <v>2310</v>
      </c>
      <c r="B9" t="s">
        <v>818</v>
      </c>
      <c r="C9" s="246">
        <f t="shared" si="0"/>
        <v>15011.47</v>
      </c>
      <c r="D9" s="245">
        <v>15011.47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1500</v>
      </c>
      <c r="D10" s="244"/>
      <c r="E10" s="245">
        <v>1500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22897</v>
      </c>
      <c r="D11" s="245">
        <v>22897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121549.1</v>
      </c>
      <c r="D12" s="20">
        <f>'DOE25'!L204+'DOE25'!L222+'DOE25'!L240-F12-G12</f>
        <v>119919.91</v>
      </c>
      <c r="E12" s="244"/>
      <c r="F12" s="256">
        <f>'DOE25'!J204+'DOE25'!J222+'DOE25'!J240</f>
        <v>863</v>
      </c>
      <c r="G12" s="53">
        <f>'DOE25'!K204+'DOE25'!K222+'DOE25'!K240</f>
        <v>766.19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103803.65000000001</v>
      </c>
      <c r="D14" s="20">
        <f>'DOE25'!L206+'DOE25'!L224+'DOE25'!L242-F14-G14</f>
        <v>101257.95000000001</v>
      </c>
      <c r="E14" s="244"/>
      <c r="F14" s="256">
        <f>'DOE25'!J206+'DOE25'!J224+'DOE25'!J242</f>
        <v>2545.6999999999998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135686.01</v>
      </c>
      <c r="D15" s="20">
        <f>'DOE25'!L207+'DOE25'!L225+'DOE25'!L243-F15-G15</f>
        <v>135686.01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2322.9</v>
      </c>
      <c r="D16" s="244"/>
      <c r="E16" s="20">
        <f>'DOE25'!L208+'DOE25'!L226+'DOE25'!L244-F16-G16</f>
        <v>2322.9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26323.55</v>
      </c>
      <c r="D25" s="244"/>
      <c r="E25" s="244"/>
      <c r="F25" s="259"/>
      <c r="G25" s="257"/>
      <c r="H25" s="258">
        <f>'DOE25'!L259+'DOE25'!L260+'DOE25'!L340+'DOE25'!L341</f>
        <v>26323.55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39758.759999999995</v>
      </c>
      <c r="D29" s="20">
        <f>'DOE25'!L357+'DOE25'!L358+'DOE25'!L359-'DOE25'!I366-F29-G29</f>
        <v>39309.619999999995</v>
      </c>
      <c r="E29" s="244"/>
      <c r="F29" s="256">
        <f>'DOE25'!J357+'DOE25'!J358+'DOE25'!J359</f>
        <v>449.14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48461.84</v>
      </c>
      <c r="D31" s="20">
        <f>'DOE25'!L289+'DOE25'!L308+'DOE25'!L327+'DOE25'!L332+'DOE25'!L333+'DOE25'!L334-F31-G31</f>
        <v>44831.35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3630.49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2025238.4699999997</v>
      </c>
      <c r="E33" s="247">
        <f>SUM(E5:E31)</f>
        <v>77822.319999999992</v>
      </c>
      <c r="F33" s="247">
        <f>SUM(F5:F31)</f>
        <v>4073.43</v>
      </c>
      <c r="G33" s="247">
        <f>SUM(G5:G31)</f>
        <v>7532.76</v>
      </c>
      <c r="H33" s="247">
        <f>SUM(H5:H31)</f>
        <v>26323.55</v>
      </c>
    </row>
    <row r="35" spans="2:8" ht="12" thickBot="1" x14ac:dyDescent="0.25">
      <c r="B35" s="254" t="s">
        <v>847</v>
      </c>
      <c r="D35" s="255">
        <f>E33</f>
        <v>77822.319999999992</v>
      </c>
      <c r="E35" s="250"/>
    </row>
    <row r="36" spans="2:8" ht="12" thickTop="1" x14ac:dyDescent="0.2">
      <c r="B36" t="s">
        <v>815</v>
      </c>
      <c r="D36" s="20">
        <f>D33</f>
        <v>2025238.4699999997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15214.89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49874.36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10686.82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798.68</v>
      </c>
      <c r="E12" s="95">
        <f>'DOE25'!H13</f>
        <v>8985.33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7586.89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242.82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22801.78</v>
      </c>
      <c r="D18" s="41">
        <f>SUM(D8:D17)</f>
        <v>798.68</v>
      </c>
      <c r="E18" s="41">
        <f>SUM(E8:E17)</f>
        <v>19914.97</v>
      </c>
      <c r="F18" s="41">
        <f>SUM(F8:F17)</f>
        <v>0</v>
      </c>
      <c r="G18" s="41">
        <f>SUM(G8:G17)</f>
        <v>49874.36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9888.14</v>
      </c>
      <c r="D21" s="95">
        <f>'DOE25'!G22</f>
        <v>798.68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11065.99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1589.2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258.45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19914.97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22801.78</v>
      </c>
      <c r="D31" s="41">
        <f>SUM(D21:D30)</f>
        <v>798.68</v>
      </c>
      <c r="E31" s="41">
        <f>SUM(E21:E30)</f>
        <v>19914.97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49874.36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0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49874.36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22801.78</v>
      </c>
      <c r="D50" s="41">
        <f>D49+D31</f>
        <v>798.68</v>
      </c>
      <c r="E50" s="41">
        <f>E49+E31</f>
        <v>19914.97</v>
      </c>
      <c r="F50" s="41">
        <f>F49+F31</f>
        <v>0</v>
      </c>
      <c r="G50" s="41">
        <f>G49+G31</f>
        <v>49874.36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1220222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354.56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65.28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11067.9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1606.83</v>
      </c>
      <c r="D60" s="95">
        <f>SUM('DOE25'!G97:G109)</f>
        <v>50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1961.3899999999999</v>
      </c>
      <c r="D61" s="130">
        <f>SUM(D56:D60)</f>
        <v>11117.9</v>
      </c>
      <c r="E61" s="130">
        <f>SUM(E56:E60)</f>
        <v>0</v>
      </c>
      <c r="F61" s="130">
        <f>SUM(F56:F60)</f>
        <v>0</v>
      </c>
      <c r="G61" s="130">
        <f>SUM(G56:G60)</f>
        <v>65.28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1222183.3899999999</v>
      </c>
      <c r="D62" s="22">
        <f>D55+D61</f>
        <v>11117.9</v>
      </c>
      <c r="E62" s="22">
        <f>E55+E61</f>
        <v>0</v>
      </c>
      <c r="F62" s="22">
        <f>F55+F61</f>
        <v>0</v>
      </c>
      <c r="G62" s="22">
        <f>G55+G61</f>
        <v>65.28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450682.51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278789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390.49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729862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24591.53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20757.73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409.96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45349.259999999995</v>
      </c>
      <c r="D77" s="130">
        <f>SUM(D71:D76)</f>
        <v>409.96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775211.26</v>
      </c>
      <c r="D80" s="130">
        <f>SUM(D78:D79)+D77+D69</f>
        <v>409.96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33158.629999999997</v>
      </c>
      <c r="D87" s="95">
        <f>SUM('DOE25'!G152:G160)</f>
        <v>15502.75</v>
      </c>
      <c r="E87" s="95">
        <f>SUM('DOE25'!H152:H160)</f>
        <v>48461.84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207.98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33366.61</v>
      </c>
      <c r="D90" s="131">
        <f>SUM(D84:D89)</f>
        <v>15502.75</v>
      </c>
      <c r="E90" s="131">
        <f>SUM(E84:E89)</f>
        <v>48461.84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27022.42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6232.26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6232.26</v>
      </c>
      <c r="D102" s="86">
        <f>SUM(D92:D101)</f>
        <v>27022.42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2036993.52</v>
      </c>
      <c r="D103" s="86">
        <f>D62+D80+D90+D102</f>
        <v>54053.03</v>
      </c>
      <c r="E103" s="86">
        <f>E62+E80+E90+E102</f>
        <v>48461.84</v>
      </c>
      <c r="F103" s="86">
        <f>F62+F80+F90+F102</f>
        <v>0</v>
      </c>
      <c r="G103" s="86">
        <f>G62+G80+G102</f>
        <v>65.28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1141571.8400000001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316979.87</v>
      </c>
      <c r="D109" s="24" t="s">
        <v>289</v>
      </c>
      <c r="E109" s="95">
        <f>('DOE25'!L276)+('DOE25'!L295)+('DOE25'!L314)</f>
        <v>29988.71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18332.5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7186.5700000000006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1484070.78</v>
      </c>
      <c r="D114" s="86">
        <f>SUM(D108:D113)</f>
        <v>0</v>
      </c>
      <c r="E114" s="86">
        <f>SUM(E108:E113)</f>
        <v>29988.71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46447.05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16879.420000000002</v>
      </c>
      <c r="D118" s="24" t="s">
        <v>289</v>
      </c>
      <c r="E118" s="95">
        <f>+('DOE25'!L281)+('DOE25'!L300)+('DOE25'!L319)</f>
        <v>17517.739999999998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114187.47</v>
      </c>
      <c r="D119" s="24" t="s">
        <v>289</v>
      </c>
      <c r="E119" s="95">
        <f>+('DOE25'!L282)+('DOE25'!L301)+('DOE25'!L320)</f>
        <v>619.39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121549.1</v>
      </c>
      <c r="D120" s="24" t="s">
        <v>289</v>
      </c>
      <c r="E120" s="95">
        <f>+('DOE25'!L283)+('DOE25'!L302)+('DOE25'!L321)</f>
        <v>336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103803.65000000001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135686.01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2322.9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54053.03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540875.60000000009</v>
      </c>
      <c r="D127" s="86">
        <f>SUM(D117:D126)</f>
        <v>54053.03</v>
      </c>
      <c r="E127" s="86">
        <f>SUM(E117:E126)</f>
        <v>18473.129999999997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23848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2475.5500000000002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27022.42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65.28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-65.28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53345.97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2078292.35</v>
      </c>
      <c r="D144" s="86">
        <f>(D114+D127+D143)</f>
        <v>54053.03</v>
      </c>
      <c r="E144" s="86">
        <f>(E114+E127+E143)</f>
        <v>48461.84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5</v>
      </c>
      <c r="C150" s="153">
        <f>'DOE25'!G489</f>
        <v>4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10/2008</v>
      </c>
      <c r="C151" s="152" t="str">
        <f>'DOE25'!G490</f>
        <v>9/2009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10/2013</v>
      </c>
      <c r="C152" s="152" t="str">
        <f>'DOE25'!G491</f>
        <v>11/2013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32000</v>
      </c>
      <c r="C153" s="137">
        <f>'DOE25'!G492</f>
        <v>69830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19945.989999999998</v>
      </c>
      <c r="C155" s="137">
        <f>'DOE25'!G494</f>
        <v>52372.5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72318.489999999991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6390.5</v>
      </c>
      <c r="C157" s="137">
        <f>'DOE25'!G496</f>
        <v>17457.5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23848</v>
      </c>
    </row>
    <row r="158" spans="1:9" x14ac:dyDescent="0.2">
      <c r="A158" s="22" t="s">
        <v>35</v>
      </c>
      <c r="B158" s="137">
        <f>'DOE25'!F497</f>
        <v>13555.489999999998</v>
      </c>
      <c r="C158" s="137">
        <f>'DOE25'!G497</f>
        <v>34915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48470.49</v>
      </c>
    </row>
    <row r="159" spans="1:9" x14ac:dyDescent="0.2">
      <c r="A159" s="22" t="s">
        <v>36</v>
      </c>
      <c r="B159" s="137">
        <f>'DOE25'!F498</f>
        <v>819.06999999999994</v>
      </c>
      <c r="C159" s="137">
        <f>'DOE25'!G498</f>
        <v>1705.2199999999998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2524.29</v>
      </c>
    </row>
    <row r="160" spans="1:9" x14ac:dyDescent="0.2">
      <c r="A160" s="22" t="s">
        <v>37</v>
      </c>
      <c r="B160" s="137">
        <f>'DOE25'!F499</f>
        <v>14374.559999999998</v>
      </c>
      <c r="C160" s="137">
        <f>'DOE25'!G499</f>
        <v>36620.22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50994.78</v>
      </c>
    </row>
    <row r="161" spans="1:7" x14ac:dyDescent="0.2">
      <c r="A161" s="22" t="s">
        <v>38</v>
      </c>
      <c r="B161" s="137">
        <f>'DOE25'!F500</f>
        <v>6644.3</v>
      </c>
      <c r="C161" s="137">
        <f>'DOE25'!G500</f>
        <v>17457.5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24101.8</v>
      </c>
    </row>
    <row r="162" spans="1:7" x14ac:dyDescent="0.2">
      <c r="A162" s="22" t="s">
        <v>39</v>
      </c>
      <c r="B162" s="137">
        <f>'DOE25'!F501</f>
        <v>542.99</v>
      </c>
      <c r="C162" s="137">
        <f>'DOE25'!G501</f>
        <v>1137.8499999999999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1680.84</v>
      </c>
    </row>
    <row r="163" spans="1:7" x14ac:dyDescent="0.2">
      <c r="A163" s="22" t="s">
        <v>246</v>
      </c>
      <c r="B163" s="137">
        <f>'DOE25'!F502</f>
        <v>7187.29</v>
      </c>
      <c r="C163" s="137">
        <f>'DOE25'!G502</f>
        <v>18595.349999999999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25782.639999999999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BATH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16567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16567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1141572</v>
      </c>
      <c r="D10" s="182">
        <f>ROUND((C10/$C$28)*100,1)</f>
        <v>53.9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346969</v>
      </c>
      <c r="D11" s="182">
        <f>ROUND((C11/$C$28)*100,1)</f>
        <v>16.399999999999999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18333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7187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46447</v>
      </c>
      <c r="D15" s="182">
        <f t="shared" ref="D15:D27" si="0">ROUND((C15/$C$28)*100,1)</f>
        <v>2.2000000000000002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34397</v>
      </c>
      <c r="D16" s="182">
        <f t="shared" si="0"/>
        <v>1.6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117130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121885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103804</v>
      </c>
      <c r="D20" s="182">
        <f t="shared" si="0"/>
        <v>4.9000000000000004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135686</v>
      </c>
      <c r="D21" s="182">
        <f t="shared" si="0"/>
        <v>6.4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2476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42935.1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2118821.1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2118821.1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23848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1220222</v>
      </c>
      <c r="D35" s="182">
        <f t="shared" ref="D35:D40" si="1">ROUND((C35/$C$41)*100,1)</f>
        <v>58.2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2026.6699999999255</v>
      </c>
      <c r="D36" s="182">
        <f t="shared" si="1"/>
        <v>0.1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729862</v>
      </c>
      <c r="D37" s="182">
        <f t="shared" si="1"/>
        <v>34.799999999999997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45759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97331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2095200.67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BATH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2012-08-28T11:56:50Z</cp:lastPrinted>
  <dcterms:created xsi:type="dcterms:W3CDTF">1997-12-04T19:04:30Z</dcterms:created>
  <dcterms:modified xsi:type="dcterms:W3CDTF">2012-11-21T14:16:46Z</dcterms:modified>
</cp:coreProperties>
</file>