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'DOE25'!$A$1:$L$671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206" i="1" l="1"/>
  <c r="H467" i="1" l="1"/>
  <c r="F467" i="1" l="1"/>
  <c r="F49" i="1"/>
  <c r="I471" i="1"/>
  <c r="I467" i="1"/>
  <c r="G471" i="1"/>
  <c r="G467" i="1"/>
  <c r="J467" i="1"/>
  <c r="G464" i="1" l="1"/>
  <c r="H359" i="1"/>
  <c r="H358" i="1"/>
  <c r="H357" i="1"/>
  <c r="F40" i="2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C120" i="2" s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F660" i="1" s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C32" i="10" s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D55" i="2" s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2" i="10"/>
  <c r="C13" i="10"/>
  <c r="L249" i="1"/>
  <c r="L331" i="1"/>
  <c r="L253" i="1"/>
  <c r="C25" i="10"/>
  <c r="L267" i="1"/>
  <c r="L268" i="1"/>
  <c r="L348" i="1"/>
  <c r="L349" i="1"/>
  <c r="I664" i="1"/>
  <c r="I669" i="1"/>
  <c r="G660" i="1"/>
  <c r="F661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E113" i="2"/>
  <c r="D114" i="2"/>
  <c r="F114" i="2"/>
  <c r="G114" i="2"/>
  <c r="E117" i="2"/>
  <c r="C118" i="2"/>
  <c r="E118" i="2"/>
  <c r="C119" i="2"/>
  <c r="E119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F469" i="1"/>
  <c r="G469" i="1"/>
  <c r="H469" i="1"/>
  <c r="I469" i="1"/>
  <c r="J469" i="1"/>
  <c r="G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G633" i="1"/>
  <c r="H633" i="1"/>
  <c r="H634" i="1"/>
  <c r="H635" i="1"/>
  <c r="H636" i="1"/>
  <c r="H637" i="1"/>
  <c r="G638" i="1"/>
  <c r="H638" i="1"/>
  <c r="G639" i="1"/>
  <c r="G640" i="1"/>
  <c r="H640" i="1"/>
  <c r="G641" i="1"/>
  <c r="G642" i="1"/>
  <c r="G643" i="1"/>
  <c r="H643" i="1"/>
  <c r="G644" i="1"/>
  <c r="H646" i="1"/>
  <c r="G648" i="1"/>
  <c r="G649" i="1"/>
  <c r="G650" i="1"/>
  <c r="G651" i="1"/>
  <c r="H651" i="1"/>
  <c r="G652" i="1"/>
  <c r="H652" i="1"/>
  <c r="J652" i="1" s="1"/>
  <c r="G653" i="1"/>
  <c r="H653" i="1"/>
  <c r="J653" i="1" s="1"/>
  <c r="H654" i="1"/>
  <c r="J351" i="1"/>
  <c r="F191" i="1"/>
  <c r="K256" i="1"/>
  <c r="K270" i="1" s="1"/>
  <c r="G256" i="1"/>
  <c r="G270" i="1" s="1"/>
  <c r="G163" i="2"/>
  <c r="G159" i="2"/>
  <c r="C18" i="2"/>
  <c r="F31" i="2"/>
  <c r="C26" i="10"/>
  <c r="L327" i="1"/>
  <c r="L350" i="1"/>
  <c r="L289" i="1"/>
  <c r="A31" i="12"/>
  <c r="C69" i="2"/>
  <c r="A40" i="12"/>
  <c r="G8" i="2"/>
  <c r="G161" i="2"/>
  <c r="D61" i="2"/>
  <c r="E49" i="2"/>
  <c r="D18" i="13"/>
  <c r="C18" i="13" s="1"/>
  <c r="D15" i="13"/>
  <c r="C15" i="13" s="1"/>
  <c r="D7" i="13"/>
  <c r="C7" i="13" s="1"/>
  <c r="F102" i="2"/>
  <c r="D18" i="2"/>
  <c r="E18" i="2"/>
  <c r="E8" i="13"/>
  <c r="C8" i="13" s="1"/>
  <c r="C90" i="2"/>
  <c r="G80" i="2"/>
  <c r="F77" i="2"/>
  <c r="F80" i="2" s="1"/>
  <c r="F61" i="2"/>
  <c r="F62" i="2" s="1"/>
  <c r="D31" i="2"/>
  <c r="C77" i="2"/>
  <c r="D49" i="2"/>
  <c r="G156" i="2"/>
  <c r="F49" i="2"/>
  <c r="G162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G31" i="13" l="1"/>
  <c r="G33" i="13" s="1"/>
  <c r="I337" i="1"/>
  <c r="I351" i="1" s="1"/>
  <c r="J616" i="1"/>
  <c r="I460" i="1"/>
  <c r="H641" i="1" s="1"/>
  <c r="J641" i="1" s="1"/>
  <c r="J433" i="1"/>
  <c r="F433" i="1"/>
  <c r="H433" i="1"/>
  <c r="G407" i="1"/>
  <c r="H644" i="1" s="1"/>
  <c r="F407" i="1"/>
  <c r="H642" i="1" s="1"/>
  <c r="J642" i="1" s="1"/>
  <c r="D62" i="2"/>
  <c r="H660" i="1"/>
  <c r="I660" i="1" s="1"/>
  <c r="D102" i="2"/>
  <c r="J651" i="1"/>
  <c r="D50" i="2"/>
  <c r="F50" i="2"/>
  <c r="F18" i="2"/>
  <c r="G570" i="1"/>
  <c r="I433" i="1"/>
  <c r="G433" i="1"/>
  <c r="G168" i="1"/>
  <c r="I139" i="1"/>
  <c r="G139" i="1"/>
  <c r="I662" i="1"/>
  <c r="F31" i="13"/>
  <c r="F544" i="1"/>
  <c r="I191" i="1"/>
  <c r="K433" i="1"/>
  <c r="G133" i="2" s="1"/>
  <c r="G143" i="2" s="1"/>
  <c r="G144" i="2" s="1"/>
  <c r="E90" i="2"/>
  <c r="G661" i="1"/>
  <c r="I661" i="1" s="1"/>
  <c r="C20" i="10"/>
  <c r="L361" i="1"/>
  <c r="K499" i="1"/>
  <c r="G160" i="2"/>
  <c r="G158" i="2"/>
  <c r="F129" i="2"/>
  <c r="F143" i="2" s="1"/>
  <c r="F144" i="2" s="1"/>
  <c r="F139" i="1"/>
  <c r="C24" i="10"/>
  <c r="L255" i="1"/>
  <c r="C21" i="10"/>
  <c r="C117" i="2"/>
  <c r="C127" i="2" s="1"/>
  <c r="I256" i="1"/>
  <c r="I270" i="1" s="1"/>
  <c r="C19" i="10"/>
  <c r="D12" i="13"/>
  <c r="C12" i="13" s="1"/>
  <c r="C18" i="10"/>
  <c r="D6" i="13"/>
  <c r="C6" i="13" s="1"/>
  <c r="L210" i="1"/>
  <c r="F659" i="1" s="1"/>
  <c r="F663" i="1" s="1"/>
  <c r="C15" i="10"/>
  <c r="C113" i="2"/>
  <c r="C114" i="2" s="1"/>
  <c r="D17" i="13"/>
  <c r="C17" i="13" s="1"/>
  <c r="L246" i="1"/>
  <c r="H659" i="1" s="1"/>
  <c r="H663" i="1" s="1"/>
  <c r="C17" i="10"/>
  <c r="C16" i="10"/>
  <c r="F256" i="1"/>
  <c r="F270" i="1" s="1"/>
  <c r="J649" i="1"/>
  <c r="L228" i="1"/>
  <c r="C11" i="10"/>
  <c r="J648" i="1"/>
  <c r="A22" i="12"/>
  <c r="C80" i="2"/>
  <c r="C103" i="2" s="1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475" i="1"/>
  <c r="H625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J617" i="1"/>
  <c r="J551" i="1"/>
  <c r="H551" i="1"/>
  <c r="C29" i="10"/>
  <c r="H139" i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E144" i="2" s="1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J50" i="1"/>
  <c r="L564" i="1"/>
  <c r="G544" i="1"/>
  <c r="L544" i="1"/>
  <c r="H544" i="1"/>
  <c r="K550" i="1"/>
  <c r="L570" i="1" l="1"/>
  <c r="J647" i="1"/>
  <c r="K551" i="1"/>
  <c r="H192" i="1"/>
  <c r="G628" i="1" s="1"/>
  <c r="J628" i="1" s="1"/>
  <c r="G50" i="2"/>
  <c r="L433" i="1"/>
  <c r="G637" i="1" s="1"/>
  <c r="J637" i="1" s="1"/>
  <c r="D103" i="2"/>
  <c r="C39" i="10"/>
  <c r="G192" i="1"/>
  <c r="G627" i="1" s="1"/>
  <c r="J627" i="1" s="1"/>
  <c r="I192" i="1"/>
  <c r="G629" i="1" s="1"/>
  <c r="J629" i="1" s="1"/>
  <c r="C27" i="10"/>
  <c r="C28" i="10" s="1"/>
  <c r="G634" i="1"/>
  <c r="J634" i="1" s="1"/>
  <c r="C38" i="10"/>
  <c r="C36" i="10"/>
  <c r="F192" i="1"/>
  <c r="G626" i="1" s="1"/>
  <c r="J626" i="1" s="1"/>
  <c r="J270" i="1"/>
  <c r="H666" i="1"/>
  <c r="H671" i="1"/>
  <c r="C6" i="10" s="1"/>
  <c r="L256" i="1"/>
  <c r="L270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G631" i="1" l="1"/>
  <c r="F471" i="1"/>
  <c r="G632" i="1"/>
  <c r="H471" i="1"/>
  <c r="D25" i="10"/>
  <c r="D13" i="10"/>
  <c r="C41" i="10"/>
  <c r="D39" i="10" s="1"/>
  <c r="D10" i="10"/>
  <c r="D26" i="10"/>
  <c r="D15" i="10"/>
  <c r="D22" i="10"/>
  <c r="D20" i="10"/>
  <c r="D18" i="10"/>
  <c r="D17" i="10"/>
  <c r="D27" i="10"/>
  <c r="D21" i="10"/>
  <c r="D12" i="10"/>
  <c r="D16" i="10"/>
  <c r="D19" i="10"/>
  <c r="C30" i="10"/>
  <c r="D11" i="10"/>
  <c r="D23" i="10"/>
  <c r="D24" i="10"/>
  <c r="G636" i="1"/>
  <c r="J636" i="1" s="1"/>
  <c r="H645" i="1"/>
  <c r="J645" i="1" s="1"/>
  <c r="D33" i="13"/>
  <c r="D36" i="13" s="1"/>
  <c r="G663" i="1"/>
  <c r="I659" i="1"/>
  <c r="I663" i="1" s="1"/>
  <c r="J625" i="1"/>
  <c r="F473" i="1" l="1"/>
  <c r="F475" i="1" s="1"/>
  <c r="H621" i="1" s="1"/>
  <c r="J621" i="1" s="1"/>
  <c r="H631" i="1"/>
  <c r="J631" i="1"/>
  <c r="H632" i="1"/>
  <c r="H473" i="1"/>
  <c r="H475" i="1" s="1"/>
  <c r="H623" i="1" s="1"/>
  <c r="J623" i="1" s="1"/>
  <c r="J632" i="1"/>
  <c r="D37" i="10"/>
  <c r="D38" i="10"/>
  <c r="D40" i="10"/>
  <c r="D36" i="10"/>
  <c r="D35" i="10"/>
  <c r="D28" i="10"/>
  <c r="I666" i="1"/>
  <c r="I671" i="1"/>
  <c r="C7" i="10" s="1"/>
  <c r="G671" i="1"/>
  <c r="C5" i="10" s="1"/>
  <c r="G666" i="1"/>
  <c r="H655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<sst xmlns="http://schemas.openxmlformats.org/spreadsheetml/2006/main" count="3955" uniqueCount="921">
  <si>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</si>
  <si>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</si>
  <si>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</si>
  <si>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</si>
  <si>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</si>
  <si>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</si>
  <si>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</si>
  <si>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</si>
  <si>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</si>
  <si>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</si>
  <si>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</si>
  <si>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</si>
  <si>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</si>
  <si>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</si>
  <si>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</si>
  <si>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</si>
  <si>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</si>
  <si>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</si>
  <si>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</si>
  <si>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</si>
  <si>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</si>
  <si>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</si>
  <si>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</si>
  <si>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</si>
  <si>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</si>
  <si>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</si>
  <si>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</si>
  <si>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</si>
  <si>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</si>
  <si>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</si>
  <si>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</si>
  <si>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</si>
  <si>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</si>
  <si>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</si>
  <si>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</si>
  <si>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</si>
  <si>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</si>
  <si>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</si>
  <si>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</si>
  <si>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</si>
  <si>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</si>
  <si>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</si>
  <si>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</si>
  <si>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</si>
  <si>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</si>
  <si>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</si>
  <si>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</si>
  <si>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</si>
  <si>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</si>
  <si>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</si>
  <si>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</si>
  <si>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</si>
  <si>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</si>
  <si>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</si>
  <si>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</si>
  <si>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</si>
  <si>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</si>
  <si>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</si>
  <si>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</si>
  <si>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</si>
  <si>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</si>
  <si>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</si>
  <si>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</si>
  <si>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</si>
  <si>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</si>
  <si>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</si>
  <si>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</si>
  <si>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</si>
  <si>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</si>
  <si>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</si>
  <si>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</si>
  <si>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</si>
  <si>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</si>
  <si>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</si>
  <si>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</si>
  <si>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</si>
  <si>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</si>
  <si>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</si>
  <si>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</si>
  <si>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</si>
  <si>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</si>
  <si>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</si>
  <si>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</si>
  <si>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</si>
  <si>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</si>
  <si>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</si>
  <si>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</si>
  <si>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</si>
  <si>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</si>
  <si>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</si>
  <si>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</si>
  <si>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</si>
  <si>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</si>
  <si>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</si>
  <si>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</si>
  <si>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</si>
  <si>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</si>
  <si>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</si>
  <si>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</si>
  <si>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</si>
  <si>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</si>
  <si>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</si>
  <si>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</si>
  <si>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</si>
  <si>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</si>
  <si>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</si>
  <si>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</si>
  <si>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</si>
  <si>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</si>
  <si>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</si>
  <si>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</si>
  <si>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</si>
  <si>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</si>
  <si>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</si>
  <si>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</si>
  <si>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</si>
  <si>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</si>
  <si>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</si>
  <si>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</si>
  <si>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</si>
  <si>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</si>
  <si>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</si>
  <si>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</si>
  <si>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</si>
  <si>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</si>
  <si>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</si>
  <si>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</si>
  <si>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</si>
  <si>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</si>
  <si>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</si>
  <si>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</si>
  <si>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</si>
  <si>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</si>
  <si>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</si>
  <si>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</si>
  <si>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</si>
  <si>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</si>
  <si>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</si>
  <si>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</si>
  <si>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</si>
  <si>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</si>
  <si>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</si>
  <si>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</si>
  <si>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</si>
  <si>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</si>
  <si>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</si>
  <si>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</si>
  <si>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</si>
  <si>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</si>
  <si>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</si>
  <si>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</si>
  <si>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</si>
  <si>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</si>
  <si>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</si>
  <si>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</si>
  <si>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</si>
  <si>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</si>
  <si>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</si>
  <si>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</si>
  <si>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</si>
  <si>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</si>
  <si>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</si>
  <si>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</si>
  <si>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</si>
  <si>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</si>
  <si>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</si>
  <si>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</si>
  <si>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</si>
  <si>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</si>
  <si>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</si>
  <si>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</si>
  <si>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</si>
  <si>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</si>
  <si>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</si>
  <si>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</si>
  <si>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</si>
  <si>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</si>
  <si>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</si>
  <si>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</si>
  <si>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</si>
  <si>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</si>
  <si>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</si>
  <si>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</si>
  <si>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</si>
  <si>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</si>
  <si>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</si>
  <si>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</si>
  <si>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</si>
  <si>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</si>
  <si>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</si>
  <si>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</si>
  <si>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</si>
  <si>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</si>
  <si>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</si>
  <si>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</si>
  <si>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</si>
  <si>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</si>
  <si>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</si>
  <si>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</si>
  <si>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</si>
  <si>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</si>
  <si>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</si>
  <si>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</si>
  <si>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</si>
  <si>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</si>
  <si>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</si>
  <si>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</si>
  <si>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</si>
  <si>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</si>
  <si>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</si>
  <si>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</si>
  <si>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</si>
  <si>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</si>
  <si>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</si>
  <si>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</si>
  <si>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</si>
  <si>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</si>
  <si>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</si>
  <si>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</si>
  <si>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</si>
  <si>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</si>
  <si>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</si>
  <si>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</si>
  <si>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</si>
  <si>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</si>
  <si>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</si>
  <si>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</si>
  <si>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</si>
  <si>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</si>
  <si>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</si>
  <si>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</si>
  <si>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</si>
  <si>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</si>
  <si>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</si>
  <si>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</si>
  <si>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</si>
  <si>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</si>
  <si>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</si>
  <si>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</si>
  <si>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</si>
  <si>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</si>
  <si>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</si>
  <si>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</si>
  <si>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</si>
  <si>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</si>
  <si>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</si>
  <si>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</si>
  <si>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</si>
  <si>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</si>
  <si>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</si>
  <si>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</si>
  <si>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</si>
  <si>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</si>
  <si>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</si>
  <si>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</si>
  <si>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</si>
  <si>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</si>
  <si>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</si>
  <si>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</si>
  <si>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</si>
  <si>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</si>
  <si>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</si>
  <si>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</si>
  <si>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</si>
  <si>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</si>
  <si>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</si>
  <si>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</si>
  <si>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</si>
  <si>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</si>
  <si>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</si>
  <si>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</si>
  <si>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</si>
  <si>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</si>
  <si>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</si>
  <si>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</si>
  <si>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</si>
  <si>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</si>
  <si>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</si>
  <si>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</si>
  <si>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</si>
  <si>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</si>
  <si>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</si>
  <si>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</si>
  <si>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</si>
  <si>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</si>
  <si>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</si>
  <si>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</si>
  <si>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</si>
  <si>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</si>
  <si>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</si>
  <si>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</si>
  <si>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</si>
  <si>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</si>
  <si>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</si>
  <si>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</si>
  <si>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</si>
  <si>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</si>
  <si>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</si>
  <si>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</si>
  <si>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</si>
  <si>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</si>
  <si>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</si>
  <si>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</si>
  <si>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</si>
  <si>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</si>
  <si>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</si>
  <si>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</si>
  <si>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</si>
  <si>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</si>
  <si>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</si>
  <si>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</si>
  <si>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</si>
  <si>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</si>
  <si>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</si>
  <si>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</si>
  <si>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</si>
  <si>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</si>
  <si>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</si>
  <si>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</si>
  <si>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</si>
  <si>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</si>
  <si>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</si>
  <si>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</si>
  <si>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</si>
  <si>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</si>
  <si>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</si>
  <si>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</si>
  <si>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</si>
  <si>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</si>
  <si>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</si>
  <si>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</si>
  <si>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</si>
  <si>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</si>
  <si>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</si>
  <si>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</si>
  <si>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</si>
  <si>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</si>
  <si>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</si>
  <si>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</si>
  <si>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</si>
  <si>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</si>
  <si>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</si>
  <si>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</si>
  <si>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</si>
  <si>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</si>
  <si>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</si>
  <si>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</si>
  <si>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</si>
  <si>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</si>
  <si>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</si>
  <si>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</si>
  <si>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</si>
  <si>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</si>
  <si>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</si>
  <si>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</si>
  <si>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</si>
  <si>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</si>
  <si>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</si>
  <si>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</si>
  <si>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</si>
  <si>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</si>
  <si>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</si>
  <si>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</si>
  <si>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</si>
  <si>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</si>
  <si>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</si>
  <si>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</si>
  <si>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</si>
  <si>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</si>
  <si>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</si>
  <si>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</si>
  <si>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</si>
  <si>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</si>
  <si>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</si>
  <si>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</si>
  <si>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</si>
  <si>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</si>
  <si>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</si>
  <si>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</si>
  <si>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</si>
  <si>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</si>
  <si>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</si>
  <si>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</si>
  <si>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</si>
  <si>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</si>
  <si>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</si>
  <si>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</si>
  <si>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</si>
  <si>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</si>
  <si>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</si>
  <si>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</si>
  <si>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</si>
  <si>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</si>
  <si>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</si>
  <si>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</si>
  <si>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</si>
  <si>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</si>
  <si>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</si>
  <si>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</si>
  <si>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</si>
  <si>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</si>
  <si>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</si>
  <si>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</si>
  <si>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</si>
  <si>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</si>
  <si>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</si>
  <si>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</si>
  <si>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</si>
  <si>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</si>
  <si>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</si>
  <si>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</si>
  <si>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</si>
  <si>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</si>
  <si>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</si>
  <si>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</si>
  <si>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</si>
  <si>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</si>
  <si>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</si>
  <si>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</si>
  <si>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</si>
  <si>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</si>
  <si>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</si>
  <si>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</si>
  <si>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</si>
  <si>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</si>
  <si>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</si>
  <si>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</si>
  <si>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</si>
  <si>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</si>
  <si>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</si>
  <si>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</si>
  <si>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</si>
  <si>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</si>
  <si>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</si>
  <si>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</si>
  <si>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</si>
  <si>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</si>
  <si>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</si>
  <si>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</si>
  <si>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</si>
  <si>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</si>
  <si>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</si>
  <si>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</si>
  <si>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</si>
  <si>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</si>
  <si>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</si>
  <si>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</si>
  <si>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</si>
  <si>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</si>
  <si>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</si>
  <si>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</si>
  <si>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</si>
  <si>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</si>
  <si>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</si>
  <si>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</si>
  <si>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</si>
  <si>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</si>
  <si>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</si>
  <si>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</si>
  <si>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</si>
  <si>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</si>
  <si>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</si>
  <si>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</si>
  <si>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</si>
  <si>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</si>
  <si>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</si>
  <si>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</si>
  <si>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</si>
  <si>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</si>
  <si>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</si>
  <si>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</si>
  <si>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</si>
  <si>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</si>
  <si>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</si>
  <si>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</si>
  <si>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</si>
  <si>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</si>
  <si>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</si>
  <si>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</si>
  <si>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</si>
  <si>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</si>
  <si>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</si>
  <si>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</si>
  <si>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</si>
  <si>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</si>
  <si>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</si>
  <si>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</si>
  <si>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</si>
  <si>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</si>
  <si>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</si>
  <si>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</si>
  <si>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</si>
  <si>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</si>
  <si>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</si>
  <si>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</si>
  <si>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</si>
  <si>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</si>
  <si>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</si>
  <si>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</si>
  <si>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</si>
  <si>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</si>
  <si>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</si>
  <si>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</si>
  <si>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</si>
  <si>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</si>
  <si>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</si>
  <si>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</si>
  <si>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</si>
  <si>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</si>
  <si>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</si>
  <si>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</si>
  <si>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</si>
  <si>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</si>
  <si>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</si>
  <si>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</si>
  <si>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</si>
  <si>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</si>
  <si>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</si>
  <si>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</si>
  <si>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</si>
  <si>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</si>
  <si>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</si>
  <si>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</si>
  <si>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</si>
  <si>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</si>
  <si>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</si>
  <si>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</si>
  <si>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</si>
  <si>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</si>
  <si>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</si>
  <si>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</si>
  <si>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</si>
  <si>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</si>
  <si>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</si>
  <si>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</si>
  <si>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</si>
  <si>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</si>
  <si>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</si>
  <si>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</si>
  <si>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</si>
  <si>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</si>
  <si>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</si>
  <si>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</si>
  <si>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</si>
  <si>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</si>
  <si>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</si>
  <si>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</si>
  <si>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</si>
  <si>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</si>
  <si>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</si>
  <si>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</si>
  <si>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</si>
  <si>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</si>
  <si>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</si>
  <si>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</si>
  <si>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</si>
  <si>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</si>
  <si>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</si>
  <si>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</si>
  <si>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</si>
  <si>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</si>
  <si>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</si>
  <si>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</si>
  <si>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</si>
  <si>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</si>
  <si>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</si>
  <si>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</si>
  <si>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</si>
  <si>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</si>
  <si>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</si>
  <si>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</si>
  <si>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</si>
  <si>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</si>
  <si>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</si>
  <si>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</si>
  <si>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</si>
  <si>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</si>
  <si>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</si>
  <si>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</si>
  <si>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</si>
  <si>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</si>
  <si>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</si>
  <si>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</si>
  <si>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</si>
  <si>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</si>
  <si>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</si>
  <si>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</si>
  <si>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</si>
  <si>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</si>
  <si>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</si>
  <si>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</si>
  <si>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</si>
  <si>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</si>
  <si>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</si>
  <si>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</si>
  <si>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</si>
  <si>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</si>
  <si>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</si>
  <si>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</si>
  <si>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</si>
  <si>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</si>
  <si>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</si>
  <si>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</si>
  <si>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</si>
  <si>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</si>
  <si>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</si>
  <si>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</si>
  <si>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</si>
  <si>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</si>
  <si>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</si>
  <si>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</si>
  <si>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</si>
  <si>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</si>
  <si>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</si>
  <si>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</si>
  <si>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</si>
  <si>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</si>
  <si>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</si>
  <si>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</si>
  <si>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</si>
  <si>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</si>
  <si>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</si>
  <si>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</si>
  <si>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</si>
  <si>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</si>
  <si>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</si>
  <si>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</si>
  <si>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</si>
  <si>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</si>
  <si>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</si>
  <si>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</si>
  <si>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</si>
  <si>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</si>
  <si>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</si>
  <si>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</si>
  <si>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</si>
  <si>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</si>
  <si>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</si>
  <si>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</si>
  <si>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</si>
  <si>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</si>
  <si>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</si>
  <si>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</si>
  <si>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</si>
  <si>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</si>
  <si>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</si>
  <si>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</si>
  <si>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</si>
  <si>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</si>
  <si>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</si>
  <si>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</si>
  <si>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</si>
  <si>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</si>
  <si>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</si>
  <si>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</si>
  <si>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</si>
  <si>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</si>
  <si>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</si>
  <si>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</si>
  <si>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</si>
  <si>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</si>
  <si>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</si>
  <si>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</si>
  <si>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</si>
  <si>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</si>
  <si>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</si>
  <si>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</si>
  <si>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</si>
  <si>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</si>
  <si>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</si>
  <si>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</si>
  <si>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</si>
  <si>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</si>
  <si>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</si>
  <si>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</si>
  <si>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</si>
  <si>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</si>
  <si>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</si>
  <si>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</si>
  <si>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</si>
  <si>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</si>
  <si>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</si>
  <si>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</si>
  <si>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</si>
  <si>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</si>
  <si>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</si>
  <si>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</si>
  <si>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</si>
  <si>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</si>
  <si>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</si>
  <si>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</si>
  <si>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</si>
  <si>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</si>
  <si>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</si>
  <si>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</si>
  <si>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</si>
  <si>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</si>
  <si>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</si>
  <si>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</si>
  <si>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</si>
  <si>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</si>
  <si>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</si>
  <si>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</si>
  <si>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</si>
  <si>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</si>
  <si>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</si>
  <si>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</si>
  <si>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</si>
  <si>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</si>
  <si>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</si>
  <si>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</si>
  <si>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</si>
  <si>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</si>
  <si>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</si>
  <si>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</si>
  <si>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</si>
  <si>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</si>
  <si>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</si>
  <si>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</si>
  <si>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</si>
  <si>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</si>
  <si>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</si>
  <si>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</si>
  <si>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</si>
  <si>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</si>
  <si>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</si>
  <si>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</si>
  <si>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</si>
  <si>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</si>
  <si>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</si>
  <si>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</si>
  <si>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</si>
  <si>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</si>
  <si>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</si>
  <si>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</si>
  <si>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</si>
  <si>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</si>
  <si>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</si>
  <si>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</si>
  <si>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</si>
  <si>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</si>
  <si>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</si>
  <si>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</si>
  <si>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</si>
  <si>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</si>
  <si>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</si>
  <si>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</si>
  <si>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</si>
  <si>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</si>
  <si>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</si>
  <si>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</si>
  <si>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</si>
  <si>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</si>
  <si>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</si>
  <si>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</si>
  <si>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</si>
  <si>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</si>
  <si>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</si>
  <si>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</si>
  <si>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</si>
  <si>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</si>
  <si>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</si>
  <si>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</si>
  <si>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</si>
  <si>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</si>
  <si>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</si>
  <si>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</si>
  <si>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</si>
  <si>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</si>
  <si>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</si>
  <si>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</si>
  <si>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</si>
  <si>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</si>
  <si>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</si>
  <si>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</si>
  <si>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</si>
  <si>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</si>
  <si>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</si>
  <si>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</si>
  <si>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</si>
  <si>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</si>
  <si>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</si>
  <si>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</si>
  <si>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</si>
  <si>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</si>
  <si>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</si>
  <si>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</si>
  <si>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</si>
  <si>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</si>
  <si>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</si>
  <si>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</si>
  <si>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</si>
  <si>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</si>
  <si>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</si>
  <si>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</si>
  <si>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</si>
  <si>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</si>
  <si>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</si>
  <si>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</si>
  <si>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</si>
  <si>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</si>
  <si>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</si>
  <si>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</si>
  <si>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</si>
  <si>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</si>
  <si>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</si>
  <si>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</si>
  <si>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</si>
  <si>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</si>
  <si>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</si>
  <si>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</si>
  <si>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</si>
  <si>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</si>
  <si>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</si>
  <si>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</si>
  <si>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</si>
  <si>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</si>
  <si>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</si>
  <si>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</si>
  <si>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</si>
  <si>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</si>
  <si>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</si>
  <si>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</si>
  <si>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</si>
  <si>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</si>
  <si>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</si>
  <si>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</si>
  <si>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</si>
  <si>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</si>
  <si>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</si>
  <si>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</si>
  <si>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</si>
  <si>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</si>
  <si>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</si>
  <si>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</si>
  <si>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</si>
  <si>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</si>
  <si>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</si>
  <si>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</si>
  <si>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</si>
  <si>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</si>
  <si>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</si>
  <si>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</si>
  <si>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</si>
  <si>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</si>
  <si>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</si>
  <si>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</si>
  <si>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</si>
  <si>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</si>
  <si>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</si>
  <si>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</si>
  <si>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</si>
  <si>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</si>
  <si>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</si>
  <si>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</si>
  <si>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</si>
  <si>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</si>
  <si>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</si>
  <si>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</si>
  <si>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</si>
  <si>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</si>
  <si>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</si>
  <si>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</si>
  <si>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</si>
  <si>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</si>
  <si>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</si>
  <si>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</si>
  <si>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</si>
  <si>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</si>
  <si>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</si>
  <si>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</si>
  <si>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</si>
  <si>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</si>
  <si>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</si>
  <si>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</si>
  <si>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</si>
  <si>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</si>
  <si>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</si>
  <si>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</si>
  <si>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</si>
  <si>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</si>
  <si>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</si>
  <si>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</si>
  <si>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</si>
  <si>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</si>
  <si>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</si>
  <si>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</si>
  <si>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</si>
  <si>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</si>
  <si>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</si>
  <si>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</si>
  <si>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</si>
  <si>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</si>
  <si>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</si>
  <si>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</si>
  <si>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</si>
  <si>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</si>
  <si>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</si>
  <si>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</si>
  <si>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</si>
  <si>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</si>
  <si>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</si>
  <si>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</si>
  <si>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</si>
  <si>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</si>
  <si>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</si>
  <si>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</si>
  <si>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</si>
  <si>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</si>
  <si>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8/08</t>
  </si>
  <si>
    <t>8/18</t>
  </si>
  <si>
    <t>11/02</t>
  </si>
  <si>
    <t>11/12</t>
  </si>
  <si>
    <t>7/05</t>
  </si>
  <si>
    <t>7/29</t>
  </si>
  <si>
    <t>6/06</t>
  </si>
  <si>
    <t>7/26</t>
  </si>
  <si>
    <t>8/07</t>
  </si>
  <si>
    <t>8/17</t>
  </si>
  <si>
    <t>Prior period adjustment</t>
  </si>
  <si>
    <t>BEDFORD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</si>
</sst>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1" fillId="2" borderId="0" xfId="0" applyNumberFormat="1" applyFont="1" applyFill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920</v>
      </c>
      <c r="B2" s="21">
        <v>41</v>
      </c>
      <c r="C2" s="21">
        <v>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5907360.5099999998</v>
      </c>
      <c r="G9" s="18">
        <v>497</v>
      </c>
      <c r="H9" s="18">
        <v>0</v>
      </c>
      <c r="I9" s="18">
        <v>0</v>
      </c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278119.65000000002</v>
      </c>
      <c r="H12" s="18">
        <v>0</v>
      </c>
      <c r="I12" s="18">
        <v>367502.92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55794.12</v>
      </c>
      <c r="G13" s="18">
        <v>9159.23</v>
      </c>
      <c r="H13" s="18">
        <v>386165.91</v>
      </c>
      <c r="I13" s="18">
        <v>0</v>
      </c>
      <c r="J13" s="67">
        <f>SUM(I441)</f>
        <v>828169.14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15490.69</v>
      </c>
      <c r="G14" s="18">
        <v>7288.44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39241.53</v>
      </c>
      <c r="G17" s="18">
        <v>0</v>
      </c>
      <c r="H17" s="18">
        <v>2597.2199999999998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6017886.8500000006</v>
      </c>
      <c r="G19" s="41">
        <f>SUM(G9:G18)</f>
        <v>295064.32000000001</v>
      </c>
      <c r="H19" s="41">
        <f>SUM(H9:H18)</f>
        <v>388763.12999999995</v>
      </c>
      <c r="I19" s="41">
        <f>SUM(I9:I18)</f>
        <v>367502.92</v>
      </c>
      <c r="J19" s="41">
        <f>SUM(J9:J18)</f>
        <v>828169.14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349581.35</v>
      </c>
      <c r="G22" s="18">
        <v>0</v>
      </c>
      <c r="H22" s="18">
        <v>296041.21999999997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984746.84</v>
      </c>
      <c r="G24" s="18">
        <v>11694.14</v>
      </c>
      <c r="H24" s="18">
        <v>6052.63</v>
      </c>
      <c r="I24" s="18">
        <v>94350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2215497.4500000002</v>
      </c>
      <c r="G28" s="18">
        <v>853.92</v>
      </c>
      <c r="H28" s="18">
        <v>77542.09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46140</v>
      </c>
      <c r="G30" s="18">
        <v>44938.85</v>
      </c>
      <c r="H30" s="18">
        <v>9127.19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3595965.64</v>
      </c>
      <c r="G32" s="41">
        <f>SUM(G22:G31)</f>
        <v>57486.909999999996</v>
      </c>
      <c r="H32" s="41">
        <f>SUM(H22:H31)</f>
        <v>388763.12999999995</v>
      </c>
      <c r="I32" s="41">
        <f>SUM(I22:I31)</f>
        <v>94350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236361.42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273152.92</v>
      </c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0</v>
      </c>
      <c r="H47" s="18">
        <v>0</v>
      </c>
      <c r="I47" s="18">
        <v>0</v>
      </c>
      <c r="J47" s="13">
        <f>SUM(I458)</f>
        <v>828169.14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63401.2</v>
      </c>
      <c r="G48" s="18">
        <v>1215.99</v>
      </c>
      <c r="H48" s="18">
        <v>0</v>
      </c>
      <c r="I48" s="18">
        <v>0</v>
      </c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2421921.21-F48</f>
        <v>2358520.0099999998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2421921.21</v>
      </c>
      <c r="G50" s="41">
        <f>SUM(G35:G49)</f>
        <v>237577.41</v>
      </c>
      <c r="H50" s="41">
        <f>SUM(H35:H49)</f>
        <v>0</v>
      </c>
      <c r="I50" s="41">
        <f>SUM(I35:I49)</f>
        <v>273152.92</v>
      </c>
      <c r="J50" s="41">
        <f>SUM(J35:J49)</f>
        <v>828169.14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6017886.8499999996</v>
      </c>
      <c r="G51" s="41">
        <f>G50+G32</f>
        <v>295064.32000000001</v>
      </c>
      <c r="H51" s="41">
        <f>H50+H32</f>
        <v>388763.12999999995</v>
      </c>
      <c r="I51" s="41">
        <f>I50+I32</f>
        <v>367502.92</v>
      </c>
      <c r="J51" s="41">
        <f>J50+J32</f>
        <v>828169.14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43357004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75000</v>
      </c>
      <c r="G58" s="18">
        <v>0</v>
      </c>
      <c r="H58" s="18">
        <v>0</v>
      </c>
      <c r="I58" s="18">
        <v>0</v>
      </c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43432004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202369.67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48032.73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4296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40782.36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60855.48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356336.24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1822.27</v>
      </c>
      <c r="G95" s="18">
        <v>0</v>
      </c>
      <c r="H95" s="18">
        <v>0</v>
      </c>
      <c r="I95" s="18">
        <v>0</v>
      </c>
      <c r="J95" s="18">
        <v>3132.3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1419829.34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6074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121524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44141.54</v>
      </c>
      <c r="I101" s="18">
        <v>0</v>
      </c>
      <c r="J101" s="18">
        <v>0</v>
      </c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69479.23</v>
      </c>
      <c r="G109" s="18">
        <v>0</v>
      </c>
      <c r="H109" s="18">
        <v>0</v>
      </c>
      <c r="I109" s="18"/>
      <c r="J109" s="18">
        <v>0</v>
      </c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198899.5</v>
      </c>
      <c r="G110" s="41">
        <f>SUM(G95:G109)</f>
        <v>1419829.34</v>
      </c>
      <c r="H110" s="41">
        <f>SUM(H95:H109)</f>
        <v>44141.54</v>
      </c>
      <c r="I110" s="41">
        <f>SUM(I95:I109)</f>
        <v>0</v>
      </c>
      <c r="J110" s="41">
        <f>SUM(J95:J109)</f>
        <v>3132.3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43987239.740000002</v>
      </c>
      <c r="G111" s="41">
        <f>G59+G110</f>
        <v>1419829.34</v>
      </c>
      <c r="H111" s="41">
        <f>H59+H78+H93+H110</f>
        <v>44141.54</v>
      </c>
      <c r="I111" s="41">
        <f>I59+I110</f>
        <v>0</v>
      </c>
      <c r="J111" s="41">
        <f>J59+J110</f>
        <v>3132.3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3458740.23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7719577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2996.77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/>
      <c r="I119" s="18">
        <v>0</v>
      </c>
      <c r="J119" s="18">
        <v>0</v>
      </c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11181314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1105406.53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492616.05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8348.3700000000008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10000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17242.5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1616370.9500000002</v>
      </c>
      <c r="G135" s="41">
        <f>SUM(G122:G134)</f>
        <v>17242.5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12797684.949999999</v>
      </c>
      <c r="G139" s="41">
        <f>G120+SUM(G135:G136)</f>
        <v>17242.5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7212.75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7212.75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82841.440000000002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97422.98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185580.66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821735.9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433424.85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382634.78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433424.85</v>
      </c>
      <c r="G161" s="41">
        <f>SUM(G149:G160)</f>
        <v>185580.66</v>
      </c>
      <c r="H161" s="41">
        <f>SUM(H149:H160)</f>
        <v>1384635.1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433424.85</v>
      </c>
      <c r="G168" s="41">
        <f>G146+G161+SUM(G162:G167)</f>
        <v>185580.66</v>
      </c>
      <c r="H168" s="41">
        <f>H146+H161+SUM(H162:H167)</f>
        <v>1391847.85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0</v>
      </c>
      <c r="H178" s="18">
        <v>0</v>
      </c>
      <c r="I178" s="18">
        <v>0</v>
      </c>
      <c r="J178" s="18">
        <v>300000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300000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300000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57218349.539999999</v>
      </c>
      <c r="G192" s="47">
        <f>G111+G139+G168+G191</f>
        <v>1622652.5</v>
      </c>
      <c r="H192" s="47">
        <f>H111+H139+H168+H191</f>
        <v>1435989.3900000001</v>
      </c>
      <c r="I192" s="47">
        <f>I111+I139+I168+I191</f>
        <v>0</v>
      </c>
      <c r="J192" s="47">
        <f>J111+J139+J191</f>
        <v>303132.3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7501281.7999999998</v>
      </c>
      <c r="G196" s="18">
        <v>4259814.66</v>
      </c>
      <c r="H196" s="18">
        <v>67009.63</v>
      </c>
      <c r="I196" s="18">
        <v>382450.99</v>
      </c>
      <c r="J196" s="18">
        <v>2141.23</v>
      </c>
      <c r="K196" s="18">
        <v>0</v>
      </c>
      <c r="L196" s="19">
        <f>SUM(F196:K196)</f>
        <v>12212698.310000002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3041435.19</v>
      </c>
      <c r="G197" s="18">
        <v>1727164.83</v>
      </c>
      <c r="H197" s="18">
        <v>294732.2</v>
      </c>
      <c r="I197" s="18">
        <v>32972.370000000003</v>
      </c>
      <c r="J197" s="18">
        <v>0</v>
      </c>
      <c r="K197" s="18">
        <v>0</v>
      </c>
      <c r="L197" s="19">
        <f>SUM(F197:K197)</f>
        <v>5096304.59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41359.879999999997</v>
      </c>
      <c r="G199" s="18">
        <v>23487.38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64847.259999999995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861076.75</v>
      </c>
      <c r="G201" s="18">
        <v>488986.73</v>
      </c>
      <c r="H201" s="18">
        <v>983554.08</v>
      </c>
      <c r="I201" s="18">
        <v>18291.23</v>
      </c>
      <c r="J201" s="18">
        <v>0</v>
      </c>
      <c r="K201" s="18">
        <v>0</v>
      </c>
      <c r="L201" s="19">
        <f t="shared" ref="L201:L207" si="0">SUM(F201:K201)</f>
        <v>2351908.79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294974.14</v>
      </c>
      <c r="G202" s="18">
        <v>167509.39000000001</v>
      </c>
      <c r="H202" s="18">
        <v>25913.5</v>
      </c>
      <c r="I202" s="18">
        <v>52185.18</v>
      </c>
      <c r="J202" s="18">
        <v>67990.97</v>
      </c>
      <c r="K202" s="18">
        <v>17035.43</v>
      </c>
      <c r="L202" s="19">
        <f t="shared" si="0"/>
        <v>625608.6100000001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376097.93</v>
      </c>
      <c r="G203" s="18">
        <v>213577.82</v>
      </c>
      <c r="H203" s="18">
        <v>51198.42</v>
      </c>
      <c r="I203" s="18">
        <v>17632.490000000002</v>
      </c>
      <c r="J203" s="18">
        <v>1034.31</v>
      </c>
      <c r="K203" s="18">
        <v>7968.9</v>
      </c>
      <c r="L203" s="19">
        <f t="shared" si="0"/>
        <v>667509.87000000011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982800</v>
      </c>
      <c r="G204" s="18">
        <v>558110.74</v>
      </c>
      <c r="H204" s="18">
        <v>20456.11</v>
      </c>
      <c r="I204" s="18">
        <v>16459.27</v>
      </c>
      <c r="J204" s="18">
        <v>0</v>
      </c>
      <c r="K204" s="18">
        <v>9793.69</v>
      </c>
      <c r="L204" s="19">
        <f t="shared" si="0"/>
        <v>1587619.81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106150.53</v>
      </c>
      <c r="G205" s="18">
        <v>60280.57</v>
      </c>
      <c r="H205" s="18">
        <v>60860.45</v>
      </c>
      <c r="I205" s="18">
        <v>0</v>
      </c>
      <c r="J205" s="18">
        <v>0</v>
      </c>
      <c r="K205" s="18">
        <v>0</v>
      </c>
      <c r="L205" s="19">
        <f t="shared" si="0"/>
        <v>227291.55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698932.22</v>
      </c>
      <c r="G206" s="18">
        <v>396908.39</v>
      </c>
      <c r="H206" s="18">
        <v>614239.02</v>
      </c>
      <c r="I206" s="18">
        <v>612351.99</v>
      </c>
      <c r="J206" s="18">
        <f>2311.2</f>
        <v>2311.1999999999998</v>
      </c>
      <c r="K206" s="18">
        <v>423.97</v>
      </c>
      <c r="L206" s="19">
        <f t="shared" si="0"/>
        <v>2325166.7900000005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19513.98</v>
      </c>
      <c r="G207" s="18">
        <v>11081.56</v>
      </c>
      <c r="H207" s="18">
        <v>1234014.33</v>
      </c>
      <c r="I207" s="18">
        <v>0</v>
      </c>
      <c r="J207" s="18">
        <v>0</v>
      </c>
      <c r="K207" s="18">
        <v>0</v>
      </c>
      <c r="L207" s="19">
        <f t="shared" si="0"/>
        <v>1264609.8700000001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15452</v>
      </c>
      <c r="I208" s="18">
        <v>0</v>
      </c>
      <c r="J208" s="18">
        <v>0</v>
      </c>
      <c r="K208" s="18">
        <v>0</v>
      </c>
      <c r="L208" s="19">
        <f>SUM(F208:K208)</f>
        <v>15452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13923622.420000002</v>
      </c>
      <c r="G210" s="41">
        <f t="shared" si="1"/>
        <v>7906922.0699999994</v>
      </c>
      <c r="H210" s="41">
        <f t="shared" si="1"/>
        <v>3367429.74</v>
      </c>
      <c r="I210" s="41">
        <f t="shared" si="1"/>
        <v>1132343.52</v>
      </c>
      <c r="J210" s="41">
        <f t="shared" si="1"/>
        <v>73477.709999999992</v>
      </c>
      <c r="K210" s="41">
        <f t="shared" si="1"/>
        <v>35221.990000000005</v>
      </c>
      <c r="L210" s="41">
        <f t="shared" si="1"/>
        <v>26439017.450000003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3070873.07</v>
      </c>
      <c r="G214" s="18">
        <v>1743881.98</v>
      </c>
      <c r="H214" s="18">
        <v>36845.25</v>
      </c>
      <c r="I214" s="18">
        <v>84823.76</v>
      </c>
      <c r="J214" s="18">
        <v>0</v>
      </c>
      <c r="K214" s="18">
        <v>0</v>
      </c>
      <c r="L214" s="19">
        <f>SUM(F214:K214)</f>
        <v>4936424.0599999996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829120.24</v>
      </c>
      <c r="G215" s="18">
        <v>470839.34</v>
      </c>
      <c r="H215" s="18">
        <v>364201.43</v>
      </c>
      <c r="I215" s="18">
        <v>6603.65</v>
      </c>
      <c r="J215" s="18">
        <v>0</v>
      </c>
      <c r="K215" s="18">
        <v>0</v>
      </c>
      <c r="L215" s="19">
        <f>SUM(F215:K215)</f>
        <v>1670764.66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128352.58</v>
      </c>
      <c r="G217" s="18">
        <v>72888.639999999999</v>
      </c>
      <c r="H217" s="18">
        <v>9525</v>
      </c>
      <c r="I217" s="18">
        <v>4750.6099999999997</v>
      </c>
      <c r="J217" s="18">
        <v>0</v>
      </c>
      <c r="K217" s="18">
        <v>590</v>
      </c>
      <c r="L217" s="19">
        <f>SUM(F217:K217)</f>
        <v>216106.83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286166.15999999997</v>
      </c>
      <c r="G219" s="18">
        <v>162507.53</v>
      </c>
      <c r="H219" s="18">
        <v>151706.89000000001</v>
      </c>
      <c r="I219" s="18">
        <v>5944.95</v>
      </c>
      <c r="J219" s="18">
        <v>0</v>
      </c>
      <c r="K219" s="18">
        <v>0</v>
      </c>
      <c r="L219" s="19">
        <f t="shared" ref="L219:L225" si="2">SUM(F219:K219)</f>
        <v>606325.52999999991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92862.23</v>
      </c>
      <c r="G220" s="18">
        <v>52734.44</v>
      </c>
      <c r="H220" s="18">
        <v>8351.01</v>
      </c>
      <c r="I220" s="18">
        <v>16948.38</v>
      </c>
      <c r="J220" s="18">
        <v>21039.919999999998</v>
      </c>
      <c r="K220" s="18">
        <v>5363.01</v>
      </c>
      <c r="L220" s="19">
        <f t="shared" si="2"/>
        <v>197298.99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118401.2</v>
      </c>
      <c r="G221" s="18">
        <v>67237.45</v>
      </c>
      <c r="H221" s="18">
        <v>16118.03</v>
      </c>
      <c r="I221" s="18">
        <v>5550.97</v>
      </c>
      <c r="J221" s="18">
        <v>325.62</v>
      </c>
      <c r="K221" s="18">
        <v>2508.73</v>
      </c>
      <c r="L221" s="19">
        <f t="shared" si="2"/>
        <v>210142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267302.03999999998</v>
      </c>
      <c r="G222" s="18">
        <v>151795.01</v>
      </c>
      <c r="H222" s="18">
        <v>10092.06</v>
      </c>
      <c r="I222" s="18">
        <v>2719.66</v>
      </c>
      <c r="J222" s="18">
        <v>0</v>
      </c>
      <c r="K222" s="18">
        <v>2724</v>
      </c>
      <c r="L222" s="19">
        <f t="shared" si="2"/>
        <v>434632.76999999996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33417.760000000002</v>
      </c>
      <c r="G223" s="18">
        <v>18977.22</v>
      </c>
      <c r="H223" s="18">
        <v>19159.77</v>
      </c>
      <c r="I223" s="18">
        <v>0</v>
      </c>
      <c r="J223" s="18">
        <v>0</v>
      </c>
      <c r="K223" s="18">
        <v>0</v>
      </c>
      <c r="L223" s="19">
        <f t="shared" si="2"/>
        <v>71554.75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199383.81</v>
      </c>
      <c r="G224" s="18">
        <v>113225.72</v>
      </c>
      <c r="H224" s="18">
        <v>193371.53</v>
      </c>
      <c r="I224" s="18">
        <v>47559.08</v>
      </c>
      <c r="J224" s="18">
        <v>727.6</v>
      </c>
      <c r="K224" s="18">
        <v>133.47</v>
      </c>
      <c r="L224" s="19">
        <f t="shared" si="2"/>
        <v>554401.21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6143.29</v>
      </c>
      <c r="G225" s="18">
        <v>3488.64</v>
      </c>
      <c r="H225" s="18">
        <v>404074.81</v>
      </c>
      <c r="I225" s="18">
        <v>0</v>
      </c>
      <c r="J225" s="18">
        <v>0</v>
      </c>
      <c r="K225" s="18">
        <v>0</v>
      </c>
      <c r="L225" s="19">
        <f t="shared" si="2"/>
        <v>413706.74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4864.5200000000004</v>
      </c>
      <c r="I226" s="18">
        <v>0</v>
      </c>
      <c r="J226" s="18">
        <v>0</v>
      </c>
      <c r="K226" s="18">
        <v>0</v>
      </c>
      <c r="L226" s="19">
        <f>SUM(F226:K226)</f>
        <v>4864.5200000000004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5032022.38</v>
      </c>
      <c r="G228" s="41">
        <f>SUM(G214:G227)</f>
        <v>2857575.97</v>
      </c>
      <c r="H228" s="41">
        <f>SUM(H214:H227)</f>
        <v>1218310.3000000003</v>
      </c>
      <c r="I228" s="41">
        <f>SUM(I214:I227)</f>
        <v>174901.06</v>
      </c>
      <c r="J228" s="41">
        <f>SUM(J214:J227)</f>
        <v>22093.139999999996</v>
      </c>
      <c r="K228" s="41">
        <f t="shared" si="3"/>
        <v>11319.21</v>
      </c>
      <c r="L228" s="41">
        <f t="shared" si="3"/>
        <v>9316222.0600000005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4139135.26</v>
      </c>
      <c r="G232" s="18">
        <v>2350524.7999999998</v>
      </c>
      <c r="H232" s="18">
        <v>51944.51</v>
      </c>
      <c r="I232" s="18">
        <v>215203.21</v>
      </c>
      <c r="J232" s="18">
        <v>11725.85</v>
      </c>
      <c r="K232" s="18">
        <v>15340.63</v>
      </c>
      <c r="L232" s="19">
        <f>SUM(F232:K232)</f>
        <v>6783874.2599999988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1002750.25</v>
      </c>
      <c r="G233" s="18">
        <v>569440.03</v>
      </c>
      <c r="H233" s="18">
        <v>787570.82</v>
      </c>
      <c r="I233" s="18">
        <v>13320.1</v>
      </c>
      <c r="J233" s="18">
        <v>0</v>
      </c>
      <c r="K233" s="18">
        <v>0</v>
      </c>
      <c r="L233" s="19">
        <f>SUM(F233:K233)</f>
        <v>2373081.2000000002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281412.3</v>
      </c>
      <c r="I234" s="18">
        <v>0</v>
      </c>
      <c r="J234" s="18">
        <v>0</v>
      </c>
      <c r="K234" s="18">
        <v>0</v>
      </c>
      <c r="L234" s="19">
        <f>SUM(F234:K234)</f>
        <v>281412.3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419165.43</v>
      </c>
      <c r="G235" s="18">
        <v>238034.93</v>
      </c>
      <c r="H235" s="18">
        <v>91491.31</v>
      </c>
      <c r="I235" s="18">
        <v>66449.73</v>
      </c>
      <c r="J235" s="18">
        <v>0</v>
      </c>
      <c r="K235" s="18">
        <v>14377.48</v>
      </c>
      <c r="L235" s="19">
        <f>SUM(F235:K235)</f>
        <v>829518.87999999989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350984.16</v>
      </c>
      <c r="G237" s="18">
        <v>199316.27</v>
      </c>
      <c r="H237" s="18">
        <v>530566.27</v>
      </c>
      <c r="I237" s="18">
        <v>9314.42</v>
      </c>
      <c r="J237" s="18">
        <v>0</v>
      </c>
      <c r="K237" s="18">
        <v>0</v>
      </c>
      <c r="L237" s="19">
        <f t="shared" ref="L237:L243" si="4">SUM(F237:K237)</f>
        <v>1090181.1199999999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158412.04</v>
      </c>
      <c r="G238" s="18">
        <v>89958.75</v>
      </c>
      <c r="H238" s="18">
        <v>14325.22</v>
      </c>
      <c r="I238" s="18">
        <v>43148.26</v>
      </c>
      <c r="J238" s="18">
        <v>35891.61</v>
      </c>
      <c r="K238" s="18">
        <v>9148.6</v>
      </c>
      <c r="L238" s="19">
        <f t="shared" si="4"/>
        <v>350884.48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201978.5</v>
      </c>
      <c r="G239" s="18">
        <v>114699.19</v>
      </c>
      <c r="H239" s="18">
        <v>27495.45</v>
      </c>
      <c r="I239" s="18">
        <v>9469.31</v>
      </c>
      <c r="J239" s="18">
        <v>555.46</v>
      </c>
      <c r="K239" s="18">
        <v>4279.59</v>
      </c>
      <c r="L239" s="19">
        <f t="shared" si="4"/>
        <v>358477.50000000006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775546.46</v>
      </c>
      <c r="G240" s="18">
        <v>440415.95</v>
      </c>
      <c r="H240" s="18">
        <v>20721.419999999998</v>
      </c>
      <c r="I240" s="18">
        <v>7087.48</v>
      </c>
      <c r="J240" s="18">
        <v>2250</v>
      </c>
      <c r="K240" s="18">
        <v>25209.72</v>
      </c>
      <c r="L240" s="19">
        <f t="shared" si="4"/>
        <v>1271231.0299999998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57006.76</v>
      </c>
      <c r="G241" s="18">
        <v>32372.9</v>
      </c>
      <c r="H241" s="18">
        <v>32684.31</v>
      </c>
      <c r="I241" s="18">
        <v>0</v>
      </c>
      <c r="J241" s="18">
        <v>0</v>
      </c>
      <c r="K241" s="18">
        <v>0</v>
      </c>
      <c r="L241" s="19">
        <f t="shared" si="4"/>
        <v>122063.97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383142.72</v>
      </c>
      <c r="G242" s="18">
        <v>217578.41</v>
      </c>
      <c r="H242" s="18">
        <v>329869.09000000003</v>
      </c>
      <c r="I242" s="18">
        <v>504532.93</v>
      </c>
      <c r="J242" s="18">
        <v>1241.2</v>
      </c>
      <c r="K242" s="18">
        <v>227.69</v>
      </c>
      <c r="L242" s="19">
        <f t="shared" si="4"/>
        <v>1436592.0399999998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10479.73</v>
      </c>
      <c r="G243" s="18">
        <v>5951.21</v>
      </c>
      <c r="H243" s="18">
        <v>751478.47</v>
      </c>
      <c r="I243" s="18">
        <v>0</v>
      </c>
      <c r="J243" s="18">
        <v>0</v>
      </c>
      <c r="K243" s="18">
        <v>0</v>
      </c>
      <c r="L243" s="19">
        <f t="shared" si="4"/>
        <v>767909.40999999992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8298.2999999999993</v>
      </c>
      <c r="I244" s="18">
        <v>0</v>
      </c>
      <c r="J244" s="18">
        <v>0</v>
      </c>
      <c r="K244" s="18">
        <v>0</v>
      </c>
      <c r="L244" s="19">
        <f>SUM(F244:K244)</f>
        <v>8298.2999999999993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7498601.3099999996</v>
      </c>
      <c r="G246" s="41">
        <f t="shared" si="5"/>
        <v>4258292.4400000004</v>
      </c>
      <c r="H246" s="41">
        <f t="shared" si="5"/>
        <v>2927857.4699999997</v>
      </c>
      <c r="I246" s="41">
        <f t="shared" si="5"/>
        <v>868525.44</v>
      </c>
      <c r="J246" s="41">
        <f t="shared" si="5"/>
        <v>51664.119999999995</v>
      </c>
      <c r="K246" s="41">
        <f t="shared" si="5"/>
        <v>68583.710000000006</v>
      </c>
      <c r="L246" s="41">
        <f t="shared" si="5"/>
        <v>15673524.49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16664.73</v>
      </c>
      <c r="G250" s="18">
        <v>9463.5400000000009</v>
      </c>
      <c r="H250" s="18">
        <v>0</v>
      </c>
      <c r="I250" s="18">
        <v>439.94</v>
      </c>
      <c r="J250" s="18">
        <v>0</v>
      </c>
      <c r="K250" s="18">
        <v>0</v>
      </c>
      <c r="L250" s="19">
        <f t="shared" si="6"/>
        <v>26568.21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16664.73</v>
      </c>
      <c r="G255" s="41">
        <f t="shared" si="7"/>
        <v>9463.5400000000009</v>
      </c>
      <c r="H255" s="41">
        <f t="shared" si="7"/>
        <v>0</v>
      </c>
      <c r="I255" s="41">
        <f t="shared" si="7"/>
        <v>439.94</v>
      </c>
      <c r="J255" s="41">
        <f t="shared" si="7"/>
        <v>0</v>
      </c>
      <c r="K255" s="41">
        <f t="shared" si="7"/>
        <v>0</v>
      </c>
      <c r="L255" s="41">
        <f>SUM(F255:K255)</f>
        <v>26568.21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26470910.84</v>
      </c>
      <c r="G256" s="41">
        <f t="shared" si="8"/>
        <v>15032254.02</v>
      </c>
      <c r="H256" s="41">
        <f t="shared" si="8"/>
        <v>7513597.5100000007</v>
      </c>
      <c r="I256" s="41">
        <f t="shared" si="8"/>
        <v>2176209.96</v>
      </c>
      <c r="J256" s="41">
        <f t="shared" si="8"/>
        <v>147234.96999999997</v>
      </c>
      <c r="K256" s="41">
        <f t="shared" si="8"/>
        <v>115124.91</v>
      </c>
      <c r="L256" s="41">
        <f t="shared" si="8"/>
        <v>51455332.210000008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3526291.99</v>
      </c>
      <c r="L259" s="19">
        <f>SUM(F259:K259)</f>
        <v>3526291.99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1101401.1399999999</v>
      </c>
      <c r="L260" s="19">
        <f>SUM(F260:K260)</f>
        <v>1101401.1399999999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300000</v>
      </c>
      <c r="L265" s="19">
        <f t="shared" si="9"/>
        <v>300000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4927693.13</v>
      </c>
      <c r="L269" s="41">
        <f t="shared" si="9"/>
        <v>4927693.13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26470910.84</v>
      </c>
      <c r="G270" s="42">
        <f t="shared" si="11"/>
        <v>15032254.02</v>
      </c>
      <c r="H270" s="42">
        <f t="shared" si="11"/>
        <v>7513597.5100000007</v>
      </c>
      <c r="I270" s="42">
        <f t="shared" si="11"/>
        <v>2176209.96</v>
      </c>
      <c r="J270" s="42">
        <f t="shared" si="11"/>
        <v>147234.96999999997</v>
      </c>
      <c r="K270" s="42">
        <f t="shared" si="11"/>
        <v>5042818.04</v>
      </c>
      <c r="L270" s="42">
        <f t="shared" si="11"/>
        <v>56383025.340000011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241762.25</v>
      </c>
      <c r="G275" s="18">
        <v>49.08</v>
      </c>
      <c r="H275" s="18">
        <v>4470.84</v>
      </c>
      <c r="I275" s="18">
        <v>8503.25</v>
      </c>
      <c r="J275" s="18">
        <v>815</v>
      </c>
      <c r="K275" s="18">
        <v>0</v>
      </c>
      <c r="L275" s="19">
        <f>SUM(F275:K275)</f>
        <v>255600.41999999998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179036.79</v>
      </c>
      <c r="G276" s="18">
        <v>0</v>
      </c>
      <c r="H276" s="18">
        <v>123409.86</v>
      </c>
      <c r="I276" s="18">
        <v>1157.18</v>
      </c>
      <c r="J276" s="18">
        <v>10559.08</v>
      </c>
      <c r="K276" s="18">
        <v>0</v>
      </c>
      <c r="L276" s="19">
        <f>SUM(F276:K276)</f>
        <v>314162.91000000003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135445.5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135445.5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2551.11</v>
      </c>
      <c r="G281" s="18">
        <v>423.9</v>
      </c>
      <c r="H281" s="18">
        <v>12917.92</v>
      </c>
      <c r="I281" s="18">
        <v>3090.43</v>
      </c>
      <c r="J281" s="18">
        <v>0</v>
      </c>
      <c r="K281" s="18">
        <v>0</v>
      </c>
      <c r="L281" s="19">
        <f t="shared" si="12"/>
        <v>18983.36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9756.2800000000007</v>
      </c>
      <c r="G282" s="18">
        <v>34.340000000000003</v>
      </c>
      <c r="H282" s="18">
        <v>786.65</v>
      </c>
      <c r="I282" s="18">
        <v>2469.98</v>
      </c>
      <c r="J282" s="18">
        <v>0</v>
      </c>
      <c r="K282" s="18">
        <v>0</v>
      </c>
      <c r="L282" s="19">
        <f t="shared" si="12"/>
        <v>13047.25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3894.88</v>
      </c>
      <c r="I283" s="18">
        <v>0</v>
      </c>
      <c r="J283" s="18">
        <v>0</v>
      </c>
      <c r="K283" s="18">
        <v>0</v>
      </c>
      <c r="L283" s="19">
        <f t="shared" si="12"/>
        <v>3894.88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15.38</v>
      </c>
      <c r="I284" s="18">
        <v>93.3</v>
      </c>
      <c r="J284" s="18">
        <v>0</v>
      </c>
      <c r="K284" s="18">
        <v>0</v>
      </c>
      <c r="L284" s="19">
        <f t="shared" si="12"/>
        <v>108.67999999999999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114.06</v>
      </c>
      <c r="I285" s="18">
        <v>0</v>
      </c>
      <c r="J285" s="18">
        <v>173712</v>
      </c>
      <c r="K285" s="18">
        <v>0</v>
      </c>
      <c r="L285" s="19">
        <f t="shared" si="12"/>
        <v>173826.06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568551.93000000005</v>
      </c>
      <c r="G289" s="42">
        <f t="shared" si="13"/>
        <v>507.31999999999994</v>
      </c>
      <c r="H289" s="42">
        <f t="shared" si="13"/>
        <v>145609.59</v>
      </c>
      <c r="I289" s="42">
        <f t="shared" si="13"/>
        <v>15314.14</v>
      </c>
      <c r="J289" s="42">
        <f t="shared" si="13"/>
        <v>185086.07999999999</v>
      </c>
      <c r="K289" s="42">
        <f t="shared" si="13"/>
        <v>0</v>
      </c>
      <c r="L289" s="41">
        <f t="shared" si="13"/>
        <v>915069.06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44993.440000000002</v>
      </c>
      <c r="G294" s="18">
        <v>0</v>
      </c>
      <c r="H294" s="18">
        <v>0</v>
      </c>
      <c r="I294" s="18">
        <v>238.47</v>
      </c>
      <c r="J294" s="18">
        <v>0</v>
      </c>
      <c r="K294" s="18">
        <v>0</v>
      </c>
      <c r="L294" s="19">
        <f>SUM(F294:K294)</f>
        <v>45231.91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52234.54</v>
      </c>
      <c r="G295" s="18">
        <v>0</v>
      </c>
      <c r="H295" s="18">
        <v>38851.269999999997</v>
      </c>
      <c r="I295" s="18">
        <v>364.29</v>
      </c>
      <c r="J295" s="18">
        <v>3324.16</v>
      </c>
      <c r="K295" s="18">
        <v>0</v>
      </c>
      <c r="L295" s="19">
        <f>SUM(F295:K295)</f>
        <v>94774.26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7595</v>
      </c>
      <c r="J297" s="18">
        <v>0</v>
      </c>
      <c r="K297" s="18">
        <v>0</v>
      </c>
      <c r="L297" s="19">
        <f>SUM(F297:K297)</f>
        <v>7595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42640.25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42640.25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803.13</v>
      </c>
      <c r="G300" s="18">
        <v>133.44999999999999</v>
      </c>
      <c r="H300" s="18">
        <v>2099.16</v>
      </c>
      <c r="I300" s="18">
        <v>930.98</v>
      </c>
      <c r="J300" s="18">
        <v>0</v>
      </c>
      <c r="K300" s="18">
        <v>0</v>
      </c>
      <c r="L300" s="19">
        <f t="shared" si="14"/>
        <v>3966.72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777.58</v>
      </c>
      <c r="J301" s="18">
        <v>0</v>
      </c>
      <c r="K301" s="18">
        <v>0</v>
      </c>
      <c r="L301" s="19">
        <f t="shared" si="14"/>
        <v>777.58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1226.17</v>
      </c>
      <c r="I304" s="18">
        <v>0</v>
      </c>
      <c r="J304" s="18">
        <v>0</v>
      </c>
      <c r="K304" s="18">
        <v>0</v>
      </c>
      <c r="L304" s="19">
        <f t="shared" si="14"/>
        <v>1226.17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140671.36000000002</v>
      </c>
      <c r="G308" s="42">
        <f t="shared" si="15"/>
        <v>133.44999999999999</v>
      </c>
      <c r="H308" s="42">
        <f t="shared" si="15"/>
        <v>42176.599999999991</v>
      </c>
      <c r="I308" s="42">
        <f t="shared" si="15"/>
        <v>9906.32</v>
      </c>
      <c r="J308" s="42">
        <f t="shared" si="15"/>
        <v>3324.16</v>
      </c>
      <c r="K308" s="42">
        <f t="shared" si="15"/>
        <v>0</v>
      </c>
      <c r="L308" s="41">
        <f t="shared" si="15"/>
        <v>196211.88999999998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76753.52</v>
      </c>
      <c r="G313" s="18">
        <v>0</v>
      </c>
      <c r="H313" s="18">
        <v>0</v>
      </c>
      <c r="I313" s="18">
        <v>406.81</v>
      </c>
      <c r="J313" s="18">
        <v>0</v>
      </c>
      <c r="K313" s="18">
        <v>0</v>
      </c>
      <c r="L313" s="19">
        <f>SUM(F313:K313)</f>
        <v>77160.33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89105.98</v>
      </c>
      <c r="G314" s="18">
        <v>0</v>
      </c>
      <c r="H314" s="18">
        <v>66275.679999999993</v>
      </c>
      <c r="I314" s="18">
        <v>621.45000000000005</v>
      </c>
      <c r="J314" s="18">
        <v>5670.62</v>
      </c>
      <c r="K314" s="18">
        <v>0</v>
      </c>
      <c r="L314" s="19">
        <f>SUM(F314:K314)</f>
        <v>161673.72999999998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72739.25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72739.25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1370.04</v>
      </c>
      <c r="G319" s="18">
        <v>227.65</v>
      </c>
      <c r="H319" s="18">
        <v>6531.13</v>
      </c>
      <c r="I319" s="18">
        <v>1588.15</v>
      </c>
      <c r="J319" s="18">
        <v>0</v>
      </c>
      <c r="K319" s="18">
        <v>0</v>
      </c>
      <c r="L319" s="19">
        <f t="shared" si="16"/>
        <v>9716.9699999999993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1326.46</v>
      </c>
      <c r="J320" s="18">
        <v>0</v>
      </c>
      <c r="K320" s="18">
        <v>0</v>
      </c>
      <c r="L320" s="19">
        <f t="shared" si="16"/>
        <v>1326.46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2091.6999999999998</v>
      </c>
      <c r="I323" s="18">
        <v>0</v>
      </c>
      <c r="J323" s="18">
        <v>0</v>
      </c>
      <c r="K323" s="18">
        <v>0</v>
      </c>
      <c r="L323" s="19">
        <f t="shared" si="16"/>
        <v>2091.6999999999998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239968.79</v>
      </c>
      <c r="G327" s="42">
        <f t="shared" si="17"/>
        <v>227.65</v>
      </c>
      <c r="H327" s="42">
        <f t="shared" si="17"/>
        <v>74898.509999999995</v>
      </c>
      <c r="I327" s="42">
        <f t="shared" si="17"/>
        <v>3942.87</v>
      </c>
      <c r="J327" s="42">
        <f t="shared" si="17"/>
        <v>5670.62</v>
      </c>
      <c r="K327" s="42">
        <f t="shared" si="17"/>
        <v>0</v>
      </c>
      <c r="L327" s="41">
        <f t="shared" si="17"/>
        <v>324708.44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949192.08000000007</v>
      </c>
      <c r="G337" s="41">
        <f t="shared" si="20"/>
        <v>868.42</v>
      </c>
      <c r="H337" s="41">
        <f t="shared" si="20"/>
        <v>262684.7</v>
      </c>
      <c r="I337" s="41">
        <f t="shared" si="20"/>
        <v>29163.329999999998</v>
      </c>
      <c r="J337" s="41">
        <f t="shared" si="20"/>
        <v>194080.86</v>
      </c>
      <c r="K337" s="41">
        <f t="shared" si="20"/>
        <v>0</v>
      </c>
      <c r="L337" s="41">
        <f t="shared" si="20"/>
        <v>1435989.39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949192.08000000007</v>
      </c>
      <c r="G351" s="41">
        <f>G337</f>
        <v>868.42</v>
      </c>
      <c r="H351" s="41">
        <f>H337</f>
        <v>262684.7</v>
      </c>
      <c r="I351" s="41">
        <f>I337</f>
        <v>29163.329999999998</v>
      </c>
      <c r="J351" s="41">
        <f>J337</f>
        <v>194080.86</v>
      </c>
      <c r="K351" s="47">
        <f>K337+K350</f>
        <v>0</v>
      </c>
      <c r="L351" s="41">
        <f>L337+L350</f>
        <v>1435989.39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210637.24</v>
      </c>
      <c r="G357" s="18">
        <v>64474.87</v>
      </c>
      <c r="H357" s="18">
        <f>24006.63+4569.4</f>
        <v>28576.03</v>
      </c>
      <c r="I357" s="18">
        <v>379366.01</v>
      </c>
      <c r="J357" s="18">
        <v>29627.599999999999</v>
      </c>
      <c r="K357" s="18">
        <v>0</v>
      </c>
      <c r="L357" s="13">
        <f>SUM(F357:K357)</f>
        <v>712681.75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80727.820000000007</v>
      </c>
      <c r="G358" s="18">
        <v>20297.650000000001</v>
      </c>
      <c r="H358" s="18">
        <f>2476.34+1438.52</f>
        <v>3914.86</v>
      </c>
      <c r="I358" s="18">
        <v>204700.25</v>
      </c>
      <c r="J358" s="18">
        <v>1197.94</v>
      </c>
      <c r="K358" s="18">
        <v>0</v>
      </c>
      <c r="L358" s="19">
        <f>SUM(F358:K358)</f>
        <v>310838.52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147966.19</v>
      </c>
      <c r="G359" s="18">
        <v>34625.39</v>
      </c>
      <c r="H359" s="18">
        <f>4416.45+2453.94</f>
        <v>6870.3899999999994</v>
      </c>
      <c r="I359" s="18">
        <v>320085.33</v>
      </c>
      <c r="J359" s="18">
        <v>3700.54</v>
      </c>
      <c r="K359" s="18">
        <v>0</v>
      </c>
      <c r="L359" s="19">
        <f>SUM(F359:K359)</f>
        <v>513247.84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>
        <v>0</v>
      </c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439331.25</v>
      </c>
      <c r="G361" s="47">
        <f t="shared" si="22"/>
        <v>119397.91</v>
      </c>
      <c r="H361" s="47">
        <f t="shared" si="22"/>
        <v>39361.279999999999</v>
      </c>
      <c r="I361" s="47">
        <f t="shared" si="22"/>
        <v>904151.59000000008</v>
      </c>
      <c r="J361" s="47">
        <f t="shared" si="22"/>
        <v>34526.079999999994</v>
      </c>
      <c r="K361" s="47">
        <f t="shared" si="22"/>
        <v>0</v>
      </c>
      <c r="L361" s="47">
        <f t="shared" si="22"/>
        <v>1536768.11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343956.79</v>
      </c>
      <c r="G366" s="18">
        <v>188658</v>
      </c>
      <c r="H366" s="18">
        <v>299453.84999999998</v>
      </c>
      <c r="I366" s="56">
        <f>SUM(F366:H366)</f>
        <v>832068.64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35409.22</v>
      </c>
      <c r="G367" s="63">
        <v>16042.25</v>
      </c>
      <c r="H367" s="63">
        <v>20631.48</v>
      </c>
      <c r="I367" s="56">
        <f>SUM(F367:H367)</f>
        <v>72082.95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379366.01</v>
      </c>
      <c r="G368" s="47">
        <f>SUM(G366:G367)</f>
        <v>204700.25</v>
      </c>
      <c r="H368" s="47">
        <f>SUM(H366:H367)</f>
        <v>320085.32999999996</v>
      </c>
      <c r="I368" s="47">
        <f>SUM(I366:I367)</f>
        <v>904151.59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107789.83</v>
      </c>
      <c r="I378" s="18">
        <v>0</v>
      </c>
      <c r="J378" s="18">
        <v>21206.97</v>
      </c>
      <c r="K378" s="18">
        <v>0</v>
      </c>
      <c r="L378" s="13">
        <f t="shared" si="23"/>
        <v>128996.8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0</v>
      </c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107789.83</v>
      </c>
      <c r="I381" s="41">
        <f t="shared" si="24"/>
        <v>0</v>
      </c>
      <c r="J381" s="47">
        <f t="shared" si="24"/>
        <v>21206.97</v>
      </c>
      <c r="K381" s="47">
        <f t="shared" si="24"/>
        <v>0</v>
      </c>
      <c r="L381" s="47">
        <f t="shared" si="24"/>
        <v>128996.8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1455.01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1455.01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43.8</v>
      </c>
      <c r="I387" s="18">
        <v>0</v>
      </c>
      <c r="J387" s="24" t="s">
        <v>289</v>
      </c>
      <c r="K387" s="24" t="s">
        <v>289</v>
      </c>
      <c r="L387" s="56">
        <f t="shared" si="25"/>
        <v>43.8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1498.81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1498.81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300000</v>
      </c>
      <c r="H395" s="18">
        <v>921.47</v>
      </c>
      <c r="I395" s="18">
        <v>0</v>
      </c>
      <c r="J395" s="24" t="s">
        <v>289</v>
      </c>
      <c r="K395" s="24" t="s">
        <v>289</v>
      </c>
      <c r="L395" s="56">
        <f t="shared" si="26"/>
        <v>300921.46999999997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712.02</v>
      </c>
      <c r="I397" s="18">
        <v>0</v>
      </c>
      <c r="J397" s="24" t="s">
        <v>289</v>
      </c>
      <c r="K397" s="24" t="s">
        <v>289</v>
      </c>
      <c r="L397" s="56">
        <f t="shared" si="26"/>
        <v>712.02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300000</v>
      </c>
      <c r="H400" s="47">
        <f>SUM(H394:H399)</f>
        <v>1633.49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301633.49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300000</v>
      </c>
      <c r="H407" s="47">
        <f>H392+H400+H406</f>
        <v>3132.3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303132.3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0</v>
      </c>
      <c r="G438" s="18">
        <v>0</v>
      </c>
      <c r="H438" s="18">
        <v>0</v>
      </c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0</v>
      </c>
      <c r="G439" s="18">
        <v>0</v>
      </c>
      <c r="H439" s="18">
        <v>0</v>
      </c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674486.56</v>
      </c>
      <c r="G441" s="18">
        <v>153682.57999999999</v>
      </c>
      <c r="H441" s="18">
        <v>0</v>
      </c>
      <c r="I441" s="56">
        <f t="shared" si="33"/>
        <v>828169.14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674486.56</v>
      </c>
      <c r="G445" s="13">
        <f>SUM(G438:G444)</f>
        <v>153682.57999999999</v>
      </c>
      <c r="H445" s="13">
        <f>SUM(H438:H444)</f>
        <v>0</v>
      </c>
      <c r="I445" s="13">
        <f>SUM(I438:I444)</f>
        <v>828169.14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674486.56</v>
      </c>
      <c r="G458" s="18">
        <v>153682.57999999999</v>
      </c>
      <c r="H458" s="18">
        <v>0</v>
      </c>
      <c r="I458" s="56">
        <f t="shared" si="34"/>
        <v>828169.14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674486.56</v>
      </c>
      <c r="G459" s="83">
        <f>SUM(G453:G458)</f>
        <v>153682.57999999999</v>
      </c>
      <c r="H459" s="83">
        <f>SUM(H453:H458)</f>
        <v>0</v>
      </c>
      <c r="I459" s="83">
        <f>SUM(I453:I458)</f>
        <v>828169.14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674486.56</v>
      </c>
      <c r="G460" s="42">
        <f>G451+G459</f>
        <v>153682.57999999999</v>
      </c>
      <c r="H460" s="42">
        <f>H451+H459</f>
        <v>0</v>
      </c>
      <c r="I460" s="42">
        <f>I451+I459</f>
        <v>828169.14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1586597.01</v>
      </c>
      <c r="G464" s="18">
        <f>7990+143703.02</f>
        <v>151693.01999999999</v>
      </c>
      <c r="H464" s="18">
        <v>0</v>
      </c>
      <c r="I464" s="18">
        <v>402149.72</v>
      </c>
      <c r="J464" s="18">
        <v>525036.84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57218349.539999999</v>
      </c>
      <c r="G467" s="18">
        <f>G192</f>
        <v>1622652.5</v>
      </c>
      <c r="H467" s="18">
        <f>H192</f>
        <v>1435989.3900000001</v>
      </c>
      <c r="I467" s="18">
        <f>I192</f>
        <v>0</v>
      </c>
      <c r="J467" s="18">
        <f>L407</f>
        <v>303132.3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0</v>
      </c>
      <c r="H468" s="18">
        <v>0</v>
      </c>
      <c r="I468" s="18">
        <v>0</v>
      </c>
      <c r="J468" s="18">
        <v>0</v>
      </c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57218349.539999999</v>
      </c>
      <c r="G469" s="53">
        <f>SUM(G467:G468)</f>
        <v>1622652.5</v>
      </c>
      <c r="H469" s="53">
        <f>SUM(H467:H468)</f>
        <v>1435989.3900000001</v>
      </c>
      <c r="I469" s="53">
        <f>SUM(I467:I468)</f>
        <v>0</v>
      </c>
      <c r="J469" s="53">
        <f>SUM(J467:J468)</f>
        <v>303132.3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56383025.340000011</v>
      </c>
      <c r="G471" s="18">
        <f>L361</f>
        <v>1536768.11</v>
      </c>
      <c r="H471" s="18">
        <f>L351</f>
        <v>1435989.39</v>
      </c>
      <c r="I471" s="18">
        <f>L381</f>
        <v>128996.8</v>
      </c>
      <c r="J471" s="18">
        <v>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>
        <v>0</v>
      </c>
      <c r="H472" s="18">
        <v>0</v>
      </c>
      <c r="I472" s="18">
        <v>0</v>
      </c>
      <c r="J472" s="18">
        <v>0</v>
      </c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56383025.340000011</v>
      </c>
      <c r="G473" s="53">
        <f>SUM(G471:G472)</f>
        <v>1536768.11</v>
      </c>
      <c r="H473" s="53">
        <f>SUM(H471:H472)</f>
        <v>1435989.39</v>
      </c>
      <c r="I473" s="53">
        <f>SUM(I471:I472)</f>
        <v>128996.8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2421921.209999986</v>
      </c>
      <c r="G475" s="53">
        <f>(G464+G469)- G473</f>
        <v>237577.40999999992</v>
      </c>
      <c r="H475" s="53">
        <f>(H464+H469)- H473</f>
        <v>0</v>
      </c>
      <c r="I475" s="53">
        <f>(I464+I469)- I473</f>
        <v>273152.92</v>
      </c>
      <c r="J475" s="53">
        <f>(J464+J469)- J473</f>
        <v>828169.1399999999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74" t="s">
        <v>919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>
        <v>10</v>
      </c>
      <c r="H489" s="154">
        <v>24</v>
      </c>
      <c r="I489" s="154">
        <v>20</v>
      </c>
      <c r="J489" s="154">
        <v>10</v>
      </c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5" t="s">
        <v>913</v>
      </c>
      <c r="I490" s="155" t="s">
        <v>915</v>
      </c>
      <c r="J490" s="155" t="s">
        <v>917</v>
      </c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5" t="s">
        <v>914</v>
      </c>
      <c r="I491" s="155" t="s">
        <v>916</v>
      </c>
      <c r="J491" s="155" t="s">
        <v>918</v>
      </c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3935000</v>
      </c>
      <c r="G492" s="18">
        <v>3181000</v>
      </c>
      <c r="H492" s="18">
        <v>47505000</v>
      </c>
      <c r="I492" s="18">
        <v>800000</v>
      </c>
      <c r="J492" s="18">
        <v>2681350</v>
      </c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3.34</v>
      </c>
      <c r="G493" s="18">
        <v>3.37</v>
      </c>
      <c r="H493" s="18">
        <v>4.34</v>
      </c>
      <c r="I493" s="18">
        <v>4.5199999999999996</v>
      </c>
      <c r="J493" s="18">
        <v>4.28</v>
      </c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3120000</v>
      </c>
      <c r="G494" s="18">
        <v>640000</v>
      </c>
      <c r="H494" s="18">
        <v>30278360</v>
      </c>
      <c r="I494" s="18">
        <v>640000</v>
      </c>
      <c r="J494" s="18">
        <v>1875000</v>
      </c>
      <c r="K494" s="53">
        <f>SUM(F494:J494)</f>
        <v>36553360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400000</v>
      </c>
      <c r="G496" s="18">
        <v>320000</v>
      </c>
      <c r="H496" s="18">
        <v>2496292</v>
      </c>
      <c r="I496" s="18">
        <v>40000</v>
      </c>
      <c r="J496" s="18">
        <v>270000</v>
      </c>
      <c r="K496" s="53">
        <f t="shared" si="35"/>
        <v>3526292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2720000</v>
      </c>
      <c r="G497" s="205">
        <v>320000</v>
      </c>
      <c r="H497" s="205">
        <v>29523811</v>
      </c>
      <c r="I497" s="205">
        <v>600000</v>
      </c>
      <c r="J497" s="205">
        <v>1605000</v>
      </c>
      <c r="K497" s="206">
        <f t="shared" si="35"/>
        <v>34768811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428688</v>
      </c>
      <c r="G498" s="18">
        <v>6400</v>
      </c>
      <c r="H498" s="18">
        <v>30662319</v>
      </c>
      <c r="I498" s="18">
        <v>203705</v>
      </c>
      <c r="J498" s="18">
        <v>230512</v>
      </c>
      <c r="K498" s="53">
        <f t="shared" si="35"/>
        <v>31531624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3148688</v>
      </c>
      <c r="G499" s="42">
        <f>SUM(G497:G498)</f>
        <v>326400</v>
      </c>
      <c r="H499" s="42">
        <f>SUM(H497:H498)</f>
        <v>60186130</v>
      </c>
      <c r="I499" s="42">
        <f>SUM(I497:I498)</f>
        <v>803705</v>
      </c>
      <c r="J499" s="42">
        <f>SUM(J497:J498)</f>
        <v>1835512</v>
      </c>
      <c r="K499" s="42">
        <f t="shared" si="35"/>
        <v>66300435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395000</v>
      </c>
      <c r="G500" s="205">
        <v>320000</v>
      </c>
      <c r="H500" s="205">
        <v>2381076</v>
      </c>
      <c r="I500" s="205">
        <v>40000</v>
      </c>
      <c r="J500" s="205">
        <v>270000</v>
      </c>
      <c r="K500" s="206">
        <f t="shared" si="35"/>
        <v>3406076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115594</v>
      </c>
      <c r="G501" s="18">
        <v>6400</v>
      </c>
      <c r="H501" s="18">
        <v>962857</v>
      </c>
      <c r="I501" s="18">
        <v>25990</v>
      </c>
      <c r="J501" s="18">
        <v>68438</v>
      </c>
      <c r="K501" s="53">
        <f t="shared" si="35"/>
        <v>1179279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510594</v>
      </c>
      <c r="G502" s="42">
        <f>SUM(G500:G501)</f>
        <v>326400</v>
      </c>
      <c r="H502" s="42">
        <f>SUM(H500:H501)</f>
        <v>3343933</v>
      </c>
      <c r="I502" s="42">
        <f>SUM(I500:I501)</f>
        <v>65990</v>
      </c>
      <c r="J502" s="42">
        <f>SUM(J500:J501)</f>
        <v>338438</v>
      </c>
      <c r="K502" s="42">
        <f t="shared" si="35"/>
        <v>4585355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271" t="s">
        <v>289</v>
      </c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2934585.54</v>
      </c>
      <c r="G520" s="18">
        <v>1666487.24</v>
      </c>
      <c r="H520" s="18">
        <v>416006.12</v>
      </c>
      <c r="I520" s="18">
        <v>21270.1</v>
      </c>
      <c r="J520" s="18">
        <v>0</v>
      </c>
      <c r="K520" s="18">
        <v>0</v>
      </c>
      <c r="L520" s="88">
        <f>SUM(F520:K520)</f>
        <v>5038349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849290.95</v>
      </c>
      <c r="G521" s="18">
        <v>470839.34</v>
      </c>
      <c r="H521" s="18">
        <v>402380.26</v>
      </c>
      <c r="I521" s="18">
        <v>4929.76</v>
      </c>
      <c r="J521" s="18">
        <v>0</v>
      </c>
      <c r="K521" s="18">
        <v>0</v>
      </c>
      <c r="L521" s="88">
        <f>SUM(F521:K521)</f>
        <v>1727440.31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1089710.48</v>
      </c>
      <c r="G522" s="18">
        <v>569440.03</v>
      </c>
      <c r="H522" s="18">
        <v>852699.41</v>
      </c>
      <c r="I522" s="18">
        <v>11252.26</v>
      </c>
      <c r="J522" s="18">
        <v>0</v>
      </c>
      <c r="K522" s="18">
        <v>0</v>
      </c>
      <c r="L522" s="88">
        <f>SUM(F522:K522)</f>
        <v>2523102.1799999997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4873586.9700000007</v>
      </c>
      <c r="G523" s="108">
        <f t="shared" ref="G523:L523" si="36">SUM(G520:G522)</f>
        <v>2706766.6100000003</v>
      </c>
      <c r="H523" s="108">
        <f t="shared" si="36"/>
        <v>1671085.79</v>
      </c>
      <c r="I523" s="108">
        <f t="shared" si="36"/>
        <v>37452.120000000003</v>
      </c>
      <c r="J523" s="108">
        <f t="shared" si="36"/>
        <v>0</v>
      </c>
      <c r="K523" s="108">
        <f t="shared" si="36"/>
        <v>0</v>
      </c>
      <c r="L523" s="89">
        <f t="shared" si="36"/>
        <v>9288891.4900000002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524748.23</v>
      </c>
      <c r="G525" s="18">
        <v>297993.09000000003</v>
      </c>
      <c r="H525" s="18">
        <v>930166.38</v>
      </c>
      <c r="I525" s="18">
        <v>4971.57</v>
      </c>
      <c r="J525" s="18">
        <v>0</v>
      </c>
      <c r="K525" s="18">
        <v>0</v>
      </c>
      <c r="L525" s="88">
        <f>SUM(F525:K525)</f>
        <v>1757879.2700000003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112653.43</v>
      </c>
      <c r="G526" s="18">
        <v>63973.43</v>
      </c>
      <c r="H526" s="18">
        <v>141101.79</v>
      </c>
      <c r="I526" s="18">
        <v>640.24</v>
      </c>
      <c r="J526" s="18">
        <v>0</v>
      </c>
      <c r="K526" s="18">
        <v>0</v>
      </c>
      <c r="L526" s="88">
        <f>SUM(F526:K526)</f>
        <v>318368.89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72920.39</v>
      </c>
      <c r="G527" s="18">
        <v>41409.9</v>
      </c>
      <c r="H527" s="18">
        <v>443631.73</v>
      </c>
      <c r="I527" s="18">
        <v>457.93</v>
      </c>
      <c r="J527" s="18">
        <v>0</v>
      </c>
      <c r="K527" s="18">
        <v>0</v>
      </c>
      <c r="L527" s="88">
        <f>SUM(F527:K527)</f>
        <v>558419.95000000007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710322.04999999993</v>
      </c>
      <c r="G528" s="89">
        <f t="shared" ref="G528:L528" si="37">SUM(G525:G527)</f>
        <v>403376.42000000004</v>
      </c>
      <c r="H528" s="89">
        <f t="shared" si="37"/>
        <v>1514899.9</v>
      </c>
      <c r="I528" s="89">
        <f t="shared" si="37"/>
        <v>6069.74</v>
      </c>
      <c r="J528" s="89">
        <f t="shared" si="37"/>
        <v>0</v>
      </c>
      <c r="K528" s="89">
        <f t="shared" si="37"/>
        <v>0</v>
      </c>
      <c r="L528" s="89">
        <f t="shared" si="37"/>
        <v>2634668.1100000003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80854.17</v>
      </c>
      <c r="G530" s="18">
        <v>45915.32</v>
      </c>
      <c r="H530" s="18">
        <v>2336.7800000000002</v>
      </c>
      <c r="I530" s="18">
        <v>410</v>
      </c>
      <c r="J530" s="18">
        <v>1034.31</v>
      </c>
      <c r="K530" s="18">
        <v>1193.21</v>
      </c>
      <c r="L530" s="88">
        <f>SUM(F530:K530)</f>
        <v>131743.78999999998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25454.09</v>
      </c>
      <c r="G531" s="18">
        <v>14454.82</v>
      </c>
      <c r="H531" s="18">
        <v>735.66</v>
      </c>
      <c r="I531" s="18">
        <v>129.07</v>
      </c>
      <c r="J531" s="18">
        <v>325.62</v>
      </c>
      <c r="K531" s="18">
        <v>375.64</v>
      </c>
      <c r="L531" s="88">
        <f>SUM(F531:K531)</f>
        <v>41474.900000000009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59454.82</v>
      </c>
      <c r="G532" s="18">
        <v>33763.1</v>
      </c>
      <c r="H532" s="18">
        <v>1254.94</v>
      </c>
      <c r="I532" s="18">
        <v>220.19</v>
      </c>
      <c r="J532" s="18">
        <v>555.46</v>
      </c>
      <c r="K532" s="18">
        <v>640.79999999999995</v>
      </c>
      <c r="L532" s="88">
        <f>SUM(F532:K532)</f>
        <v>95889.310000000012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165763.07999999999</v>
      </c>
      <c r="G533" s="89">
        <f t="shared" ref="G533:L533" si="38">SUM(G530:G532)</f>
        <v>94133.239999999991</v>
      </c>
      <c r="H533" s="89">
        <f t="shared" si="38"/>
        <v>4327.38</v>
      </c>
      <c r="I533" s="89">
        <f t="shared" si="38"/>
        <v>759.26</v>
      </c>
      <c r="J533" s="89">
        <f t="shared" si="38"/>
        <v>1915.3899999999999</v>
      </c>
      <c r="K533" s="89">
        <f t="shared" si="38"/>
        <v>2209.6499999999996</v>
      </c>
      <c r="L533" s="89">
        <f t="shared" si="38"/>
        <v>269108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15029.14</v>
      </c>
      <c r="I535" s="18">
        <v>0</v>
      </c>
      <c r="J535" s="18">
        <v>0</v>
      </c>
      <c r="K535" s="18">
        <v>0</v>
      </c>
      <c r="L535" s="88">
        <f>SUM(F535:K535)</f>
        <v>15029.14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1518</v>
      </c>
      <c r="I536" s="18">
        <v>0</v>
      </c>
      <c r="J536" s="18">
        <v>0</v>
      </c>
      <c r="K536" s="18">
        <v>0</v>
      </c>
      <c r="L536" s="88">
        <f>SUM(F536:K536)</f>
        <v>1518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5419.35</v>
      </c>
      <c r="I537" s="18">
        <v>0</v>
      </c>
      <c r="J537" s="18">
        <v>0</v>
      </c>
      <c r="K537" s="18">
        <v>0</v>
      </c>
      <c r="L537" s="88">
        <f>SUM(F537:K537)</f>
        <v>5419.35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21966.489999999998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21966.489999999998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5934.73</v>
      </c>
      <c r="G540" s="18">
        <v>3370.2</v>
      </c>
      <c r="H540" s="18">
        <v>374593.39</v>
      </c>
      <c r="I540" s="18">
        <v>0</v>
      </c>
      <c r="J540" s="18">
        <v>0</v>
      </c>
      <c r="K540" s="18">
        <v>0</v>
      </c>
      <c r="L540" s="88">
        <f>SUM(F540:K540)</f>
        <v>383898.32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1876.34</v>
      </c>
      <c r="G541" s="18">
        <v>1065.53</v>
      </c>
      <c r="H541" s="18">
        <v>117927.55</v>
      </c>
      <c r="I541" s="18">
        <v>0</v>
      </c>
      <c r="J541" s="18">
        <v>0</v>
      </c>
      <c r="K541" s="18">
        <v>0</v>
      </c>
      <c r="L541" s="88">
        <f>SUM(F541:K541)</f>
        <v>120869.42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3187.17</v>
      </c>
      <c r="G542" s="18">
        <v>1809.92</v>
      </c>
      <c r="H542" s="18">
        <v>201170.52</v>
      </c>
      <c r="I542" s="18">
        <v>0</v>
      </c>
      <c r="J542" s="18">
        <v>0</v>
      </c>
      <c r="K542" s="18">
        <v>0</v>
      </c>
      <c r="L542" s="88">
        <f>SUM(F542:K542)</f>
        <v>206167.61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10998.24</v>
      </c>
      <c r="G543" s="194">
        <f t="shared" ref="G543:L543" si="40">SUM(G540:G542)</f>
        <v>6245.65</v>
      </c>
      <c r="H543" s="194">
        <f t="shared" si="40"/>
        <v>693691.46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710935.35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5760670.3400000008</v>
      </c>
      <c r="G544" s="89">
        <f t="shared" ref="G544:L544" si="41">G523+G528+G533+G538+G543</f>
        <v>3210521.9200000004</v>
      </c>
      <c r="H544" s="89">
        <f t="shared" si="41"/>
        <v>3905971.02</v>
      </c>
      <c r="I544" s="89">
        <f t="shared" si="41"/>
        <v>44281.120000000003</v>
      </c>
      <c r="J544" s="89">
        <f t="shared" si="41"/>
        <v>1915.3899999999999</v>
      </c>
      <c r="K544" s="89">
        <f t="shared" si="41"/>
        <v>2209.6499999999996</v>
      </c>
      <c r="L544" s="89">
        <f t="shared" si="41"/>
        <v>12925569.440000001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5038349</v>
      </c>
      <c r="G548" s="87">
        <f>L525</f>
        <v>1757879.2700000003</v>
      </c>
      <c r="H548" s="87">
        <f>L530</f>
        <v>131743.78999999998</v>
      </c>
      <c r="I548" s="87">
        <f>L535</f>
        <v>15029.14</v>
      </c>
      <c r="J548" s="87">
        <f>L540</f>
        <v>383898.32</v>
      </c>
      <c r="K548" s="87">
        <f>SUM(F548:J548)</f>
        <v>7326899.5200000005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1727440.31</v>
      </c>
      <c r="G549" s="87">
        <f>L526</f>
        <v>318368.89</v>
      </c>
      <c r="H549" s="87">
        <f>L531</f>
        <v>41474.900000000009</v>
      </c>
      <c r="I549" s="87">
        <f>L536</f>
        <v>1518</v>
      </c>
      <c r="J549" s="87">
        <f>L541</f>
        <v>120869.42</v>
      </c>
      <c r="K549" s="87">
        <f>SUM(F549:J549)</f>
        <v>2209671.52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2523102.1799999997</v>
      </c>
      <c r="G550" s="87">
        <f>L527</f>
        <v>558419.95000000007</v>
      </c>
      <c r="H550" s="87">
        <f>L532</f>
        <v>95889.310000000012</v>
      </c>
      <c r="I550" s="87">
        <f>L537</f>
        <v>5419.35</v>
      </c>
      <c r="J550" s="87">
        <f>L542</f>
        <v>206167.61</v>
      </c>
      <c r="K550" s="87">
        <f>SUM(F550:J550)</f>
        <v>3388998.4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9288891.4900000002</v>
      </c>
      <c r="G551" s="89">
        <f t="shared" si="42"/>
        <v>2634668.1100000003</v>
      </c>
      <c r="H551" s="89">
        <f t="shared" si="42"/>
        <v>269108</v>
      </c>
      <c r="I551" s="89">
        <f t="shared" si="42"/>
        <v>21966.489999999998</v>
      </c>
      <c r="J551" s="89">
        <f t="shared" si="42"/>
        <v>710935.35</v>
      </c>
      <c r="K551" s="89">
        <f t="shared" si="42"/>
        <v>12925569.440000001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25859.51</v>
      </c>
      <c r="G561" s="18">
        <v>14685.02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40544.53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8140.96</v>
      </c>
      <c r="G562" s="18">
        <v>4623.07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12764.029999999999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13887.52</v>
      </c>
      <c r="G563" s="18">
        <v>7886.42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21773.940000000002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47887.990000000005</v>
      </c>
      <c r="G564" s="89">
        <f t="shared" si="44"/>
        <v>27194.510000000002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75082.5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241402</v>
      </c>
      <c r="G566" s="18">
        <v>137086.94</v>
      </c>
      <c r="H566" s="18">
        <v>0</v>
      </c>
      <c r="I566" s="18">
        <v>12423.43</v>
      </c>
      <c r="J566" s="18">
        <v>0</v>
      </c>
      <c r="K566" s="18">
        <v>0</v>
      </c>
      <c r="L566" s="88">
        <f>SUM(F566:K566)</f>
        <v>390912.37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30806.01</v>
      </c>
      <c r="G567" s="18">
        <v>17494.060000000001</v>
      </c>
      <c r="H567" s="18">
        <v>0</v>
      </c>
      <c r="I567" s="18">
        <v>1900.92</v>
      </c>
      <c r="J567" s="18">
        <v>0</v>
      </c>
      <c r="K567" s="18">
        <v>0</v>
      </c>
      <c r="L567" s="88">
        <f>SUM(F567:K567)</f>
        <v>50200.99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2455.13</v>
      </c>
      <c r="J568" s="18">
        <v>0</v>
      </c>
      <c r="K568" s="18">
        <v>0</v>
      </c>
      <c r="L568" s="88">
        <f>SUM(F568:K568)</f>
        <v>2455.13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272208.01</v>
      </c>
      <c r="G569" s="194">
        <f t="shared" ref="G569:L569" si="45">SUM(G566:G568)</f>
        <v>154581</v>
      </c>
      <c r="H569" s="194">
        <f t="shared" si="45"/>
        <v>0</v>
      </c>
      <c r="I569" s="194">
        <f t="shared" si="45"/>
        <v>16779.48</v>
      </c>
      <c r="J569" s="194">
        <f t="shared" si="45"/>
        <v>0</v>
      </c>
      <c r="K569" s="194">
        <f t="shared" si="45"/>
        <v>0</v>
      </c>
      <c r="L569" s="194">
        <f t="shared" si="45"/>
        <v>443568.49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320096</v>
      </c>
      <c r="G570" s="89">
        <f t="shared" ref="G570:L570" si="46">G559+G564+G569</f>
        <v>181775.51</v>
      </c>
      <c r="H570" s="89">
        <f t="shared" si="46"/>
        <v>0</v>
      </c>
      <c r="I570" s="89">
        <f t="shared" si="46"/>
        <v>16779.48</v>
      </c>
      <c r="J570" s="89">
        <f t="shared" si="46"/>
        <v>0</v>
      </c>
      <c r="K570" s="89">
        <f t="shared" si="46"/>
        <v>0</v>
      </c>
      <c r="L570" s="89">
        <f t="shared" si="46"/>
        <v>518650.99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>
        <v>0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0</v>
      </c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74070.86</v>
      </c>
      <c r="G578" s="18">
        <v>48036.31</v>
      </c>
      <c r="H578" s="18">
        <v>5855.52</v>
      </c>
      <c r="I578" s="87">
        <f t="shared" si="47"/>
        <v>127962.69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184237.9</v>
      </c>
      <c r="G581" s="18">
        <v>194486.9</v>
      </c>
      <c r="H581" s="18">
        <v>711991.04</v>
      </c>
      <c r="I581" s="87">
        <f t="shared" si="47"/>
        <v>1090715.8400000001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119293.22</v>
      </c>
      <c r="H582" s="18">
        <v>63266.76</v>
      </c>
      <c r="I582" s="87">
        <f t="shared" si="47"/>
        <v>182559.98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281412.3</v>
      </c>
      <c r="I583" s="87">
        <f t="shared" si="47"/>
        <v>281412.3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880711.55</v>
      </c>
      <c r="I590" s="18">
        <v>277261.05</v>
      </c>
      <c r="J590" s="18">
        <v>429977.03</v>
      </c>
      <c r="K590" s="104">
        <f t="shared" ref="K590:K596" si="48">SUM(H590:J590)</f>
        <v>1587949.6300000001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383898.32</v>
      </c>
      <c r="I591" s="18">
        <v>120856.88</v>
      </c>
      <c r="J591" s="18">
        <v>206167.61</v>
      </c>
      <c r="K591" s="104">
        <f t="shared" si="48"/>
        <v>710922.81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42997.7</v>
      </c>
      <c r="K592" s="104">
        <f t="shared" si="48"/>
        <v>42997.7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11088.81</v>
      </c>
      <c r="J593" s="18">
        <v>80746.009999999995</v>
      </c>
      <c r="K593" s="104">
        <f t="shared" si="48"/>
        <v>91834.819999999992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0</v>
      </c>
      <c r="I594" s="18">
        <v>4500</v>
      </c>
      <c r="J594" s="18">
        <v>8021.06</v>
      </c>
      <c r="K594" s="104">
        <f t="shared" si="48"/>
        <v>12521.060000000001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1264609.8700000001</v>
      </c>
      <c r="I597" s="108">
        <f>SUM(I590:I596)</f>
        <v>413706.74</v>
      </c>
      <c r="J597" s="108">
        <f>SUM(J590:J596)</f>
        <v>767909.41</v>
      </c>
      <c r="K597" s="108">
        <f>SUM(K590:K596)</f>
        <v>2446226.0200000005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258563.79</v>
      </c>
      <c r="I603" s="18">
        <v>25417.3</v>
      </c>
      <c r="J603" s="18">
        <v>57334.74</v>
      </c>
      <c r="K603" s="104">
        <f>SUM(H603:J603)</f>
        <v>341315.83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258563.79</v>
      </c>
      <c r="I604" s="108">
        <f>SUM(I601:I603)</f>
        <v>25417.3</v>
      </c>
      <c r="J604" s="108">
        <f>SUM(J601:J603)</f>
        <v>57334.74</v>
      </c>
      <c r="K604" s="108">
        <f>SUM(K601:K603)</f>
        <v>341315.83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18">
        <v>0</v>
      </c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14890.35</v>
      </c>
      <c r="G611" s="18">
        <v>8455.91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23346.260000000002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67281.53</v>
      </c>
      <c r="G612" s="18">
        <v>38207.72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105489.25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82171.88</v>
      </c>
      <c r="G613" s="108">
        <f t="shared" si="49"/>
        <v>46663.630000000005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128835.51000000001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6017886.8500000006</v>
      </c>
      <c r="H616" s="109">
        <f>SUM(F51)</f>
        <v>6017886.8499999996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295064.32000000001</v>
      </c>
      <c r="H617" s="109">
        <f>SUM(G51)</f>
        <v>295064.32000000001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388763.12999999995</v>
      </c>
      <c r="H618" s="109">
        <f>SUM(H51)</f>
        <v>388763.12999999995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367502.92</v>
      </c>
      <c r="H619" s="109">
        <f>SUM(I51)</f>
        <v>367502.92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828169.14</v>
      </c>
      <c r="H620" s="109">
        <f>SUM(J51)</f>
        <v>828169.14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2421921.21</v>
      </c>
      <c r="H621" s="109">
        <f>F475</f>
        <v>2421921.209999986</v>
      </c>
      <c r="I621" s="121" t="s">
        <v>101</v>
      </c>
      <c r="J621" s="109">
        <f t="shared" ref="J621:J654" si="50">G621-H621</f>
        <v>1.3969838619232178E-8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237577.41</v>
      </c>
      <c r="H622" s="109">
        <f>G475</f>
        <v>237577.40999999992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273152.92</v>
      </c>
      <c r="H624" s="109">
        <f>I475</f>
        <v>273152.92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828169.14</v>
      </c>
      <c r="H625" s="109">
        <f>J475</f>
        <v>828169.1399999999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57218349.539999999</v>
      </c>
      <c r="H626" s="104">
        <f>SUM(F467)</f>
        <v>57218349.539999999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1622652.5</v>
      </c>
      <c r="H627" s="104">
        <f>SUM(G467)</f>
        <v>1622652.5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1435989.3900000001</v>
      </c>
      <c r="H628" s="104">
        <f>SUM(H467)</f>
        <v>1435989.3900000001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303132.3</v>
      </c>
      <c r="H630" s="104">
        <f>SUM(J467)</f>
        <v>303132.3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56383025.340000011</v>
      </c>
      <c r="H631" s="104">
        <f>SUM(F471)</f>
        <v>56383025.340000011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1435989.39</v>
      </c>
      <c r="H632" s="104">
        <f>SUM(H471)</f>
        <v>1435989.39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904151.59000000008</v>
      </c>
      <c r="H633" s="104">
        <f>I368</f>
        <v>904151.59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1536768.11</v>
      </c>
      <c r="H634" s="104">
        <f>SUM(G471)</f>
        <v>1536768.11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128996.8</v>
      </c>
      <c r="H635" s="104">
        <f>SUM(I471)</f>
        <v>128996.8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303132.3</v>
      </c>
      <c r="H636" s="164">
        <f>SUM(J467)</f>
        <v>303132.3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674486.56</v>
      </c>
      <c r="H638" s="104">
        <f>SUM(F460)</f>
        <v>674486.56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153682.57999999999</v>
      </c>
      <c r="H639" s="104">
        <f>SUM(G460)</f>
        <v>153682.57999999999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828169.14</v>
      </c>
      <c r="H641" s="104">
        <f>SUM(I460)</f>
        <v>828169.14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3132.3</v>
      </c>
      <c r="H643" s="104">
        <f>H407</f>
        <v>3132.3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300000</v>
      </c>
      <c r="H644" s="104">
        <f>G407</f>
        <v>300000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303132.3</v>
      </c>
      <c r="H645" s="104">
        <f>L407</f>
        <v>303132.3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2446226.0200000005</v>
      </c>
      <c r="H646" s="104">
        <f>L207+L225+L243</f>
        <v>2446226.02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341315.83</v>
      </c>
      <c r="H647" s="104">
        <f>(J256+J337)-(J254+J335)</f>
        <v>341315.82999999996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1264609.8700000001</v>
      </c>
      <c r="H648" s="104">
        <f>H597</f>
        <v>1264609.8700000001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413706.74</v>
      </c>
      <c r="H649" s="104">
        <f>I597</f>
        <v>413706.74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767909.40999999992</v>
      </c>
      <c r="H650" s="104">
        <f>J597</f>
        <v>767909.41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300000</v>
      </c>
      <c r="H654" s="104">
        <f>K265+K346</f>
        <v>300000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28066768.260000002</v>
      </c>
      <c r="G659" s="19">
        <f>(L228+L308+L358)</f>
        <v>9823272.4700000007</v>
      </c>
      <c r="H659" s="19">
        <f>(L246+L327+L359)</f>
        <v>16511480.77</v>
      </c>
      <c r="I659" s="19">
        <f>SUM(F659:H659)</f>
        <v>54401521.5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658450.97392901068</v>
      </c>
      <c r="G660" s="19">
        <f>(L358/IF(SUM(L357:L359)=0,1,SUM(L357:L359))*(SUM(G96:G109)))</f>
        <v>287185.58631345938</v>
      </c>
      <c r="H660" s="19">
        <f>(L359/IF(SUM(L357:L359)=0,1,SUM(L357:L359))*(SUM(G96:G109)))</f>
        <v>474192.77975753002</v>
      </c>
      <c r="I660" s="19">
        <f>SUM(F660:H660)</f>
        <v>1419829.34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1264609.8700000001</v>
      </c>
      <c r="G661" s="19">
        <f>(L225+L305)-(J225+J305)</f>
        <v>413706.74</v>
      </c>
      <c r="H661" s="19">
        <f>(L243+L324)-(J243+J324)</f>
        <v>767909.40999999992</v>
      </c>
      <c r="I661" s="19">
        <f>SUM(F661:H661)</f>
        <v>2446226.02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516872.55000000005</v>
      </c>
      <c r="G662" s="200">
        <f>SUM(G574:G586)+SUM(I601:I603)+L611</f>
        <v>410579.99</v>
      </c>
      <c r="H662" s="200">
        <f>SUM(H574:H586)+SUM(J601:J603)+L612</f>
        <v>1225349.6100000001</v>
      </c>
      <c r="I662" s="19">
        <f>SUM(F662:H662)</f>
        <v>2152802.1500000004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25626834.86607099</v>
      </c>
      <c r="G663" s="19">
        <f>G659-SUM(G660:G662)</f>
        <v>8711800.1536865421</v>
      </c>
      <c r="H663" s="19">
        <f>H659-SUM(H660:H662)</f>
        <v>14044028.970242471</v>
      </c>
      <c r="I663" s="19">
        <f>I659-SUM(I660:I662)</f>
        <v>48382663.990000002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2215.35</v>
      </c>
      <c r="G664" s="249">
        <v>734.82</v>
      </c>
      <c r="H664" s="249">
        <v>1326.84</v>
      </c>
      <c r="I664" s="19">
        <f>SUM(F664:H664)</f>
        <v>4277.01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11567.85</v>
      </c>
      <c r="G666" s="19">
        <f>ROUND(G663/G664,2)</f>
        <v>11855.69</v>
      </c>
      <c r="H666" s="19">
        <f>ROUND(H663/H664,2)</f>
        <v>10584.57</v>
      </c>
      <c r="I666" s="19">
        <f>ROUND(I663/I664,2)</f>
        <v>11312.26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-27.4</v>
      </c>
      <c r="I669" s="19">
        <f>SUM(F669:H669)</f>
        <v>-27.4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11567.85</v>
      </c>
      <c r="G671" s="19">
        <f>ROUND((G663+G668)/(G664+G669),2)</f>
        <v>11855.69</v>
      </c>
      <c r="H671" s="19">
        <f>ROUND((H663+H668)/(H664+H669),2)</f>
        <v>10807.75</v>
      </c>
      <c r="I671" s="19">
        <f>ROUND((I663+I668)/(I664+I669),2)</f>
        <v>11385.2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85" orientation="landscape" r:id="rId1"/>
  <headerFooter alignWithMargins="0">
    <oddHeader>&amp;CDOE 25 for 2011-2012</oddHeader>
    <oddFooter>&amp;L&amp;F&amp;CPage &amp;P&amp;R&amp;D&amp;T</oddFooter>
  </headerFooter>
  <rowBreaks count="24" manualBreakCount="24">
    <brk id="51" max="11" man="1"/>
    <brk id="78" max="16383" man="1"/>
    <brk id="111" max="16383" man="1"/>
    <brk id="139" max="16383" man="1"/>
    <brk id="168" max="16383" man="1"/>
    <brk id="192" max="9" man="1"/>
    <brk id="210" max="16383" man="1"/>
    <brk id="228" max="16383" man="1"/>
    <brk id="246" max="16383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BEDFORD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5" t="s">
        <v>784</v>
      </c>
      <c r="B3" s="275"/>
      <c r="C3" s="275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783</v>
      </c>
      <c r="C6" s="274"/>
    </row>
    <row r="7" spans="1:3" x14ac:dyDescent="0.2">
      <c r="A7" s="240" t="s">
        <v>786</v>
      </c>
      <c r="B7" s="272" t="s">
        <v>782</v>
      </c>
      <c r="C7" s="273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15074799.339999998</v>
      </c>
      <c r="C9" s="230">
        <f>'DOE25'!G196+'DOE25'!G214+'DOE25'!G232+'DOE25'!G275+'DOE25'!G294+'DOE25'!G313</f>
        <v>8354270.5200000005</v>
      </c>
    </row>
    <row r="10" spans="1:3" x14ac:dyDescent="0.2">
      <c r="A10" t="s">
        <v>779</v>
      </c>
      <c r="B10" s="241">
        <v>13910485.02</v>
      </c>
      <c r="C10" s="241">
        <v>7709021.6799999997</v>
      </c>
    </row>
    <row r="11" spans="1:3" x14ac:dyDescent="0.2">
      <c r="A11" t="s">
        <v>780</v>
      </c>
      <c r="B11" s="241">
        <v>598798.96</v>
      </c>
      <c r="C11" s="241">
        <v>331847.09999999998</v>
      </c>
    </row>
    <row r="12" spans="1:3" x14ac:dyDescent="0.2">
      <c r="A12" t="s">
        <v>781</v>
      </c>
      <c r="B12" s="241">
        <v>565515.36</v>
      </c>
      <c r="C12" s="241">
        <v>313401.74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15074799.34</v>
      </c>
      <c r="C13" s="232">
        <f>SUM(C10:C12)</f>
        <v>8354270.5199999996</v>
      </c>
    </row>
    <row r="14" spans="1:3" x14ac:dyDescent="0.2">
      <c r="B14" s="231"/>
      <c r="C14" s="231"/>
    </row>
    <row r="15" spans="1:3" x14ac:dyDescent="0.2">
      <c r="B15" s="274" t="s">
        <v>783</v>
      </c>
      <c r="C15" s="274"/>
    </row>
    <row r="16" spans="1:3" x14ac:dyDescent="0.2">
      <c r="A16" s="240" t="s">
        <v>787</v>
      </c>
      <c r="B16" s="272" t="s">
        <v>707</v>
      </c>
      <c r="C16" s="273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5193682.99</v>
      </c>
      <c r="C18" s="230">
        <f>'DOE25'!G197+'DOE25'!G215+'DOE25'!G233+'DOE25'!G276+'DOE25'!G295+'DOE25'!G314</f>
        <v>2767444.2</v>
      </c>
    </row>
    <row r="19" spans="1:3" x14ac:dyDescent="0.2">
      <c r="A19" t="s">
        <v>779</v>
      </c>
      <c r="B19" s="241">
        <v>3149648.95</v>
      </c>
      <c r="C19" s="241">
        <v>1678284.51</v>
      </c>
    </row>
    <row r="20" spans="1:3" x14ac:dyDescent="0.2">
      <c r="A20" t="s">
        <v>780</v>
      </c>
      <c r="B20" s="241">
        <v>1683898.73</v>
      </c>
      <c r="C20" s="241">
        <v>897262.27</v>
      </c>
    </row>
    <row r="21" spans="1:3" x14ac:dyDescent="0.2">
      <c r="A21" t="s">
        <v>781</v>
      </c>
      <c r="B21" s="241">
        <v>360135.31</v>
      </c>
      <c r="C21" s="241">
        <v>191897.42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5193682.9899999993</v>
      </c>
      <c r="C22" s="232">
        <f>SUM(C19:C21)</f>
        <v>2767444.2</v>
      </c>
    </row>
    <row r="23" spans="1:3" x14ac:dyDescent="0.2">
      <c r="B23" s="231"/>
      <c r="C23" s="231"/>
    </row>
    <row r="24" spans="1:3" x14ac:dyDescent="0.2">
      <c r="B24" s="274" t="s">
        <v>783</v>
      </c>
      <c r="C24" s="274"/>
    </row>
    <row r="25" spans="1:3" x14ac:dyDescent="0.2">
      <c r="A25" s="240" t="s">
        <v>788</v>
      </c>
      <c r="B25" s="272" t="s">
        <v>708</v>
      </c>
      <c r="C25" s="273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40" t="s">
        <v>789</v>
      </c>
      <c r="B34" s="272" t="s">
        <v>709</v>
      </c>
      <c r="C34" s="273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588877.89</v>
      </c>
      <c r="C36" s="236">
        <f>'DOE25'!G199+'DOE25'!G217+'DOE25'!G235+'DOE25'!G278+'DOE25'!G297+'DOE25'!G316</f>
        <v>334410.95</v>
      </c>
    </row>
    <row r="37" spans="1:3" x14ac:dyDescent="0.2">
      <c r="A37" t="s">
        <v>779</v>
      </c>
      <c r="B37" s="241">
        <v>82171.88</v>
      </c>
      <c r="C37" s="241">
        <v>46663.62</v>
      </c>
    </row>
    <row r="38" spans="1:3" x14ac:dyDescent="0.2">
      <c r="A38" t="s">
        <v>780</v>
      </c>
      <c r="B38" s="241">
        <v>0</v>
      </c>
      <c r="C38" s="241">
        <v>0</v>
      </c>
    </row>
    <row r="39" spans="1:3" x14ac:dyDescent="0.2">
      <c r="A39" t="s">
        <v>781</v>
      </c>
      <c r="B39" s="241">
        <v>506706.01</v>
      </c>
      <c r="C39" s="241">
        <v>287747.33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588877.89</v>
      </c>
      <c r="C40" s="232">
        <f>SUM(C37:C39)</f>
        <v>334410.95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39" sqref="D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6" t="str">
        <f>'DOE25'!A2</f>
        <v>BEDFORD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34465032.350000009</v>
      </c>
      <c r="D5" s="20">
        <f>SUM('DOE25'!L196:L199)+SUM('DOE25'!L214:L217)+SUM('DOE25'!L232:L235)-F5-G5</f>
        <v>34420857.160000011</v>
      </c>
      <c r="E5" s="244"/>
      <c r="F5" s="256">
        <f>SUM('DOE25'!J196:J199)+SUM('DOE25'!J214:J217)+SUM('DOE25'!J232:J235)</f>
        <v>13867.08</v>
      </c>
      <c r="G5" s="53">
        <f>SUM('DOE25'!K196:K199)+SUM('DOE25'!K214:K217)+SUM('DOE25'!K232:K235)</f>
        <v>30308.11</v>
      </c>
      <c r="H5" s="260"/>
    </row>
    <row r="6" spans="1:9" x14ac:dyDescent="0.2">
      <c r="A6" s="32">
        <v>2100</v>
      </c>
      <c r="B6" t="s">
        <v>801</v>
      </c>
      <c r="C6" s="246">
        <f t="shared" si="0"/>
        <v>4048415.4399999995</v>
      </c>
      <c r="D6" s="20">
        <f>'DOE25'!L201+'DOE25'!L219+'DOE25'!L237-F6-G6</f>
        <v>4048415.4399999995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1173792.08</v>
      </c>
      <c r="D7" s="20">
        <f>'DOE25'!L202+'DOE25'!L220+'DOE25'!L238-F7-G7</f>
        <v>1017322.54</v>
      </c>
      <c r="E7" s="244"/>
      <c r="F7" s="256">
        <f>'DOE25'!J202+'DOE25'!J220+'DOE25'!J238</f>
        <v>124922.5</v>
      </c>
      <c r="G7" s="53">
        <f>'DOE25'!K202+'DOE25'!K220+'DOE25'!K238</f>
        <v>31547.040000000001</v>
      </c>
      <c r="H7" s="260"/>
    </row>
    <row r="8" spans="1:9" x14ac:dyDescent="0.2">
      <c r="A8" s="32">
        <v>2300</v>
      </c>
      <c r="B8" t="s">
        <v>802</v>
      </c>
      <c r="C8" s="246">
        <f t="shared" si="0"/>
        <v>713071.39000000025</v>
      </c>
      <c r="D8" s="244"/>
      <c r="E8" s="20">
        <f>'DOE25'!L203+'DOE25'!L221+'DOE25'!L239-F8-G8-D9-D11</f>
        <v>696398.78000000026</v>
      </c>
      <c r="F8" s="256">
        <f>'DOE25'!J203+'DOE25'!J221+'DOE25'!J239</f>
        <v>1915.3899999999999</v>
      </c>
      <c r="G8" s="53">
        <f>'DOE25'!K203+'DOE25'!K221+'DOE25'!K239</f>
        <v>14757.22</v>
      </c>
      <c r="H8" s="260"/>
    </row>
    <row r="9" spans="1:9" x14ac:dyDescent="0.2">
      <c r="A9" s="32">
        <v>2310</v>
      </c>
      <c r="B9" t="s">
        <v>818</v>
      </c>
      <c r="C9" s="246">
        <f t="shared" si="0"/>
        <v>14876.42</v>
      </c>
      <c r="D9" s="245">
        <v>14876.42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19250</v>
      </c>
      <c r="D10" s="244"/>
      <c r="E10" s="245">
        <v>19250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508181.56</v>
      </c>
      <c r="D11" s="245">
        <v>508181.56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3293483.61</v>
      </c>
      <c r="D12" s="20">
        <f>'DOE25'!L204+'DOE25'!L222+'DOE25'!L240-F12-G12</f>
        <v>3253506.1999999997</v>
      </c>
      <c r="E12" s="244"/>
      <c r="F12" s="256">
        <f>'DOE25'!J204+'DOE25'!J222+'DOE25'!J240</f>
        <v>2250</v>
      </c>
      <c r="G12" s="53">
        <f>'DOE25'!K204+'DOE25'!K222+'DOE25'!K240</f>
        <v>37727.410000000003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420910.27</v>
      </c>
      <c r="D13" s="244"/>
      <c r="E13" s="20">
        <f>'DOE25'!L205+'DOE25'!L223+'DOE25'!L241-F13-G13</f>
        <v>420910.27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4316160.04</v>
      </c>
      <c r="D14" s="20">
        <f>'DOE25'!L206+'DOE25'!L224+'DOE25'!L242-F14-G14</f>
        <v>4311094.91</v>
      </c>
      <c r="E14" s="244"/>
      <c r="F14" s="256">
        <f>'DOE25'!J206+'DOE25'!J224+'DOE25'!J242</f>
        <v>4280</v>
      </c>
      <c r="G14" s="53">
        <f>'DOE25'!K206+'DOE25'!K224+'DOE25'!K242</f>
        <v>785.13000000000011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2446226.02</v>
      </c>
      <c r="D15" s="20">
        <f>'DOE25'!L207+'DOE25'!L225+'DOE25'!L243-F15-G15</f>
        <v>2446226.02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28614.82</v>
      </c>
      <c r="D16" s="244"/>
      <c r="E16" s="20">
        <f>'DOE25'!L208+'DOE25'!L226+'DOE25'!L244-F16-G16</f>
        <v>28614.82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26568.21</v>
      </c>
      <c r="D17" s="20">
        <f>'DOE25'!L250-F17-G17</f>
        <v>26568.21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4627693.13</v>
      </c>
      <c r="D25" s="244"/>
      <c r="E25" s="244"/>
      <c r="F25" s="259"/>
      <c r="G25" s="257"/>
      <c r="H25" s="258">
        <f>'DOE25'!L259+'DOE25'!L260+'DOE25'!L340+'DOE25'!L341</f>
        <v>4627693.13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704699.47000000009</v>
      </c>
      <c r="D29" s="20">
        <f>'DOE25'!L357+'DOE25'!L358+'DOE25'!L359-'DOE25'!I366-F29-G29</f>
        <v>670173.39000000013</v>
      </c>
      <c r="E29" s="244"/>
      <c r="F29" s="256">
        <f>'DOE25'!J357+'DOE25'!J358+'DOE25'!J359</f>
        <v>34526.079999999994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1435989.3899999997</v>
      </c>
      <c r="D31" s="20">
        <f>'DOE25'!L289+'DOE25'!L308+'DOE25'!L327+'DOE25'!L332+'DOE25'!L333+'DOE25'!L334-F31-G31</f>
        <v>1241908.5299999998</v>
      </c>
      <c r="E31" s="244"/>
      <c r="F31" s="256">
        <f>'DOE25'!J289+'DOE25'!J308+'DOE25'!J327+'DOE25'!J332+'DOE25'!J333+'DOE25'!J334</f>
        <v>194080.86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51959130.380000025</v>
      </c>
      <c r="E33" s="247">
        <f>SUM(E5:E31)</f>
        <v>1165173.8700000003</v>
      </c>
      <c r="F33" s="247">
        <f>SUM(F5:F31)</f>
        <v>375841.91</v>
      </c>
      <c r="G33" s="247">
        <f>SUM(G5:G31)</f>
        <v>115124.91</v>
      </c>
      <c r="H33" s="247">
        <f>SUM(H5:H31)</f>
        <v>4627693.13</v>
      </c>
    </row>
    <row r="35" spans="2:8" ht="12" thickBot="1" x14ac:dyDescent="0.25">
      <c r="B35" s="254" t="s">
        <v>847</v>
      </c>
      <c r="D35" s="255">
        <f>E33</f>
        <v>1165173.8700000003</v>
      </c>
      <c r="E35" s="250"/>
    </row>
    <row r="36" spans="2:8" ht="12" thickTop="1" x14ac:dyDescent="0.2">
      <c r="B36" t="s">
        <v>815</v>
      </c>
      <c r="D36" s="20">
        <f>D33</f>
        <v>51959130.380000025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B27" sqref="B2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BEDFORD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5907360.5099999998</v>
      </c>
      <c r="D8" s="95">
        <f>'DOE25'!G9</f>
        <v>497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278119.65000000002</v>
      </c>
      <c r="E11" s="95">
        <f>'DOE25'!H12</f>
        <v>0</v>
      </c>
      <c r="F11" s="95">
        <f>'DOE25'!I12</f>
        <v>367502.92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55794.12</v>
      </c>
      <c r="D12" s="95">
        <f>'DOE25'!G13</f>
        <v>9159.23</v>
      </c>
      <c r="E12" s="95">
        <f>'DOE25'!H13</f>
        <v>386165.91</v>
      </c>
      <c r="F12" s="95">
        <f>'DOE25'!I13</f>
        <v>0</v>
      </c>
      <c r="G12" s="95">
        <f>'DOE25'!J13</f>
        <v>828169.14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15490.69</v>
      </c>
      <c r="D13" s="95">
        <f>'DOE25'!G14</f>
        <v>7288.44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39241.53</v>
      </c>
      <c r="D16" s="95">
        <f>'DOE25'!G17</f>
        <v>0</v>
      </c>
      <c r="E16" s="95">
        <f>'DOE25'!H17</f>
        <v>2597.2199999999998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6017886.8500000006</v>
      </c>
      <c r="D18" s="41">
        <f>SUM(D8:D17)</f>
        <v>295064.32000000001</v>
      </c>
      <c r="E18" s="41">
        <f>SUM(E8:E17)</f>
        <v>388763.12999999995</v>
      </c>
      <c r="F18" s="41">
        <f>SUM(F8:F17)</f>
        <v>367502.92</v>
      </c>
      <c r="G18" s="41">
        <f>SUM(G8:G17)</f>
        <v>828169.14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349581.35</v>
      </c>
      <c r="D21" s="95">
        <f>'DOE25'!G22</f>
        <v>0</v>
      </c>
      <c r="E21" s="95">
        <f>'DOE25'!H22</f>
        <v>296041.21999999997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984746.84</v>
      </c>
      <c r="D23" s="95">
        <f>'DOE25'!G24</f>
        <v>11694.14</v>
      </c>
      <c r="E23" s="95">
        <f>'DOE25'!H24</f>
        <v>6052.63</v>
      </c>
      <c r="F23" s="95">
        <f>'DOE25'!I24</f>
        <v>94350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2215497.4500000002</v>
      </c>
      <c r="D27" s="95">
        <f>'DOE25'!G28</f>
        <v>853.92</v>
      </c>
      <c r="E27" s="95">
        <f>'DOE25'!H28</f>
        <v>77542.09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46140</v>
      </c>
      <c r="D29" s="95">
        <f>'DOE25'!G30</f>
        <v>44938.85</v>
      </c>
      <c r="E29" s="95">
        <f>'DOE25'!H30</f>
        <v>9127.19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3595965.64</v>
      </c>
      <c r="D31" s="41">
        <f>SUM(D21:D30)</f>
        <v>57486.909999999996</v>
      </c>
      <c r="E31" s="41">
        <f>SUM(E21:E30)</f>
        <v>388763.12999999995</v>
      </c>
      <c r="F31" s="41">
        <f>SUM(F21:F30)</f>
        <v>94350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236361.42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273152.92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828169.14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63401.2</v>
      </c>
      <c r="D47" s="95">
        <f>'DOE25'!G48</f>
        <v>1215.99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2358520.0099999998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2421921.21</v>
      </c>
      <c r="D49" s="41">
        <f>SUM(D34:D48)</f>
        <v>237577.41</v>
      </c>
      <c r="E49" s="41">
        <f>SUM(E34:E48)</f>
        <v>0</v>
      </c>
      <c r="F49" s="41">
        <f>SUM(F34:F48)</f>
        <v>273152.92</v>
      </c>
      <c r="G49" s="41">
        <f>SUM(G34:G48)</f>
        <v>828169.14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6017886.8499999996</v>
      </c>
      <c r="D50" s="41">
        <f>D49+D31</f>
        <v>295064.32000000001</v>
      </c>
      <c r="E50" s="41">
        <f>E49+E31</f>
        <v>388763.12999999995</v>
      </c>
      <c r="F50" s="41">
        <f>F49+F31</f>
        <v>367502.92</v>
      </c>
      <c r="G50" s="41">
        <f>G49+G31</f>
        <v>828169.14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43432004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356336.24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1822.27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3132.3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1419829.34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197077.22999999998</v>
      </c>
      <c r="D60" s="95">
        <f>SUM('DOE25'!G97:G109)</f>
        <v>0</v>
      </c>
      <c r="E60" s="95">
        <f>SUM('DOE25'!H97:H109)</f>
        <v>44141.54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555235.74</v>
      </c>
      <c r="D61" s="130">
        <f>SUM(D56:D60)</f>
        <v>1419829.34</v>
      </c>
      <c r="E61" s="130">
        <f>SUM(E56:E60)</f>
        <v>44141.54</v>
      </c>
      <c r="F61" s="130">
        <f>SUM(F56:F60)</f>
        <v>0</v>
      </c>
      <c r="G61" s="130">
        <f>SUM(G56:G60)</f>
        <v>3132.3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43987239.740000002</v>
      </c>
      <c r="D62" s="22">
        <f>D55+D61</f>
        <v>1419829.34</v>
      </c>
      <c r="E62" s="22">
        <f>E55+E61</f>
        <v>44141.54</v>
      </c>
      <c r="F62" s="22">
        <f>F55+F61</f>
        <v>0</v>
      </c>
      <c r="G62" s="22">
        <f>G55+G61</f>
        <v>3132.3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3458740.23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7719577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2996.77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11181314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1105406.53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492616.05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8348.3700000000008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10000</v>
      </c>
      <c r="D76" s="95">
        <f>SUM('DOE25'!G130:G134)</f>
        <v>17242.5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1616370.9500000002</v>
      </c>
      <c r="D77" s="130">
        <f>SUM(D71:D76)</f>
        <v>17242.5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12797684.949999999</v>
      </c>
      <c r="D80" s="130">
        <f>SUM(D78:D79)+D77+D69</f>
        <v>17242.5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7212.75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433424.85</v>
      </c>
      <c r="D87" s="95">
        <f>SUM('DOE25'!G152:G160)</f>
        <v>185580.66</v>
      </c>
      <c r="E87" s="95">
        <f>SUM('DOE25'!H152:H160)</f>
        <v>1384635.1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433424.85</v>
      </c>
      <c r="D90" s="131">
        <f>SUM(D84:D89)</f>
        <v>185580.66</v>
      </c>
      <c r="E90" s="131">
        <f>SUM(E84:E89)</f>
        <v>1391847.85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300000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300000</v>
      </c>
    </row>
    <row r="103" spans="1:7" ht="12.75" thickTop="1" thickBot="1" x14ac:dyDescent="0.25">
      <c r="A103" s="33" t="s">
        <v>765</v>
      </c>
      <c r="C103" s="86">
        <f>C62+C80+C90+C102</f>
        <v>57218349.539999999</v>
      </c>
      <c r="D103" s="86">
        <f>D62+D80+D90+D102</f>
        <v>1622652.5</v>
      </c>
      <c r="E103" s="86">
        <f>E62+E80+E90+E102</f>
        <v>1435989.3900000001</v>
      </c>
      <c r="F103" s="86">
        <f>F62+F80+F90+F102</f>
        <v>0</v>
      </c>
      <c r="G103" s="86">
        <f>G62+G80+G102</f>
        <v>303132.3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23932996.629999999</v>
      </c>
      <c r="D108" s="24" t="s">
        <v>289</v>
      </c>
      <c r="E108" s="95">
        <f>('DOE25'!L275)+('DOE25'!L294)+('DOE25'!L313)</f>
        <v>377992.66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9140150.4499999993</v>
      </c>
      <c r="D109" s="24" t="s">
        <v>289</v>
      </c>
      <c r="E109" s="95">
        <f>('DOE25'!L276)+('DOE25'!L295)+('DOE25'!L314)</f>
        <v>570610.9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281412.3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1110472.9699999997</v>
      </c>
      <c r="D111" s="24" t="s">
        <v>289</v>
      </c>
      <c r="E111" s="95">
        <f>+('DOE25'!L278)+('DOE25'!L297)+('DOE25'!L316)</f>
        <v>7595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26568.21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34491600.560000002</v>
      </c>
      <c r="D114" s="86">
        <f>SUM(D108:D113)</f>
        <v>0</v>
      </c>
      <c r="E114" s="86">
        <f>SUM(E108:E113)</f>
        <v>956198.56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4048415.4399999995</v>
      </c>
      <c r="D117" s="24" t="s">
        <v>289</v>
      </c>
      <c r="E117" s="95">
        <f>+('DOE25'!L280)+('DOE25'!L299)+('DOE25'!L318)</f>
        <v>250825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1173792.08</v>
      </c>
      <c r="D118" s="24" t="s">
        <v>289</v>
      </c>
      <c r="E118" s="95">
        <f>+('DOE25'!L281)+('DOE25'!L300)+('DOE25'!L319)</f>
        <v>32667.050000000003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1236129.3700000001</v>
      </c>
      <c r="D119" s="24" t="s">
        <v>289</v>
      </c>
      <c r="E119" s="95">
        <f>+('DOE25'!L282)+('DOE25'!L301)+('DOE25'!L320)</f>
        <v>15151.29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3293483.61</v>
      </c>
      <c r="D120" s="24" t="s">
        <v>289</v>
      </c>
      <c r="E120" s="95">
        <f>+('DOE25'!L283)+('DOE25'!L302)+('DOE25'!L321)</f>
        <v>3894.88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420910.27</v>
      </c>
      <c r="D121" s="24" t="s">
        <v>289</v>
      </c>
      <c r="E121" s="95">
        <f>+('DOE25'!L284)+('DOE25'!L303)+('DOE25'!L322)</f>
        <v>108.67999999999999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4316160.04</v>
      </c>
      <c r="D122" s="24" t="s">
        <v>289</v>
      </c>
      <c r="E122" s="95">
        <f>+('DOE25'!L285)+('DOE25'!L304)+('DOE25'!L323)</f>
        <v>177143.93000000002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2446226.02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28614.82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1536768.11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16963731.649999999</v>
      </c>
      <c r="D127" s="86">
        <f>SUM(D117:D126)</f>
        <v>1536768.11</v>
      </c>
      <c r="E127" s="86">
        <f>SUM(E117:E126)</f>
        <v>479790.82999999996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128996.8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3526291.99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1101401.1399999999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1498.81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301633.49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-3132.2999999999884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4927693.13</v>
      </c>
      <c r="D143" s="141">
        <f>SUM(D129:D142)</f>
        <v>0</v>
      </c>
      <c r="E143" s="141">
        <f>SUM(E129:E142)</f>
        <v>0</v>
      </c>
      <c r="F143" s="141">
        <f>SUM(F129:F142)</f>
        <v>128996.8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56383025.340000004</v>
      </c>
      <c r="D144" s="86">
        <f>(D114+D127+D143)</f>
        <v>1536768.11</v>
      </c>
      <c r="E144" s="86">
        <f>(E114+E127+E143)</f>
        <v>1435989.3900000001</v>
      </c>
      <c r="F144" s="86">
        <f>(F114+F127+F143)</f>
        <v>128996.8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10</v>
      </c>
      <c r="D150" s="153">
        <f>'DOE25'!H489</f>
        <v>24</v>
      </c>
      <c r="E150" s="153">
        <f>'DOE25'!I489</f>
        <v>20</v>
      </c>
      <c r="F150" s="153">
        <f>'DOE25'!J489</f>
        <v>10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8/08</v>
      </c>
      <c r="C151" s="152" t="str">
        <f>'DOE25'!G490</f>
        <v>11/02</v>
      </c>
      <c r="D151" s="152" t="str">
        <f>'DOE25'!H490</f>
        <v>7/05</v>
      </c>
      <c r="E151" s="152" t="str">
        <f>'DOE25'!I490</f>
        <v>6/06</v>
      </c>
      <c r="F151" s="152" t="str">
        <f>'DOE25'!J490</f>
        <v>8/07</v>
      </c>
      <c r="G151" s="24" t="s">
        <v>289</v>
      </c>
    </row>
    <row r="152" spans="1:9" x14ac:dyDescent="0.2">
      <c r="A152" s="136" t="s">
        <v>29</v>
      </c>
      <c r="B152" s="152" t="str">
        <f>'DOE25'!F491</f>
        <v>8/18</v>
      </c>
      <c r="C152" s="152" t="str">
        <f>'DOE25'!G491</f>
        <v>11/12</v>
      </c>
      <c r="D152" s="152" t="str">
        <f>'DOE25'!H491</f>
        <v>7/29</v>
      </c>
      <c r="E152" s="152" t="str">
        <f>'DOE25'!I491</f>
        <v>7/26</v>
      </c>
      <c r="F152" s="152" t="str">
        <f>'DOE25'!J491</f>
        <v>8/17</v>
      </c>
      <c r="G152" s="24" t="s">
        <v>289</v>
      </c>
    </row>
    <row r="153" spans="1:9" x14ac:dyDescent="0.2">
      <c r="A153" s="136" t="s">
        <v>30</v>
      </c>
      <c r="B153" s="137">
        <f>'DOE25'!F492</f>
        <v>3935000</v>
      </c>
      <c r="C153" s="137">
        <f>'DOE25'!G492</f>
        <v>3181000</v>
      </c>
      <c r="D153" s="137">
        <f>'DOE25'!H492</f>
        <v>47505000</v>
      </c>
      <c r="E153" s="137">
        <f>'DOE25'!I492</f>
        <v>800000</v>
      </c>
      <c r="F153" s="137">
        <f>'DOE25'!J492</f>
        <v>2681350</v>
      </c>
      <c r="G153" s="24" t="s">
        <v>289</v>
      </c>
    </row>
    <row r="154" spans="1:9" x14ac:dyDescent="0.2">
      <c r="A154" s="136" t="s">
        <v>31</v>
      </c>
      <c r="B154" s="137">
        <f>'DOE25'!F493</f>
        <v>3.34</v>
      </c>
      <c r="C154" s="137">
        <f>'DOE25'!G493</f>
        <v>3.37</v>
      </c>
      <c r="D154" s="137">
        <f>'DOE25'!H493</f>
        <v>4.34</v>
      </c>
      <c r="E154" s="137">
        <f>'DOE25'!I493</f>
        <v>4.5199999999999996</v>
      </c>
      <c r="F154" s="137">
        <f>'DOE25'!J493</f>
        <v>4.28</v>
      </c>
      <c r="G154" s="24" t="s">
        <v>289</v>
      </c>
    </row>
    <row r="155" spans="1:9" x14ac:dyDescent="0.2">
      <c r="A155" s="22" t="s">
        <v>32</v>
      </c>
      <c r="B155" s="137">
        <f>'DOE25'!F494</f>
        <v>3120000</v>
      </c>
      <c r="C155" s="137">
        <f>'DOE25'!G494</f>
        <v>640000</v>
      </c>
      <c r="D155" s="137">
        <f>'DOE25'!H494</f>
        <v>30278360</v>
      </c>
      <c r="E155" s="137">
        <f>'DOE25'!I494</f>
        <v>640000</v>
      </c>
      <c r="F155" s="137">
        <f>'DOE25'!J494</f>
        <v>1875000</v>
      </c>
      <c r="G155" s="138">
        <f>SUM(B155:F155)</f>
        <v>36553360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400000</v>
      </c>
      <c r="C157" s="137">
        <f>'DOE25'!G496</f>
        <v>320000</v>
      </c>
      <c r="D157" s="137">
        <f>'DOE25'!H496</f>
        <v>2496292</v>
      </c>
      <c r="E157" s="137">
        <f>'DOE25'!I496</f>
        <v>40000</v>
      </c>
      <c r="F157" s="137">
        <f>'DOE25'!J496</f>
        <v>270000</v>
      </c>
      <c r="G157" s="138">
        <f t="shared" si="0"/>
        <v>3526292</v>
      </c>
    </row>
    <row r="158" spans="1:9" x14ac:dyDescent="0.2">
      <c r="A158" s="22" t="s">
        <v>35</v>
      </c>
      <c r="B158" s="137">
        <f>'DOE25'!F497</f>
        <v>2720000</v>
      </c>
      <c r="C158" s="137">
        <f>'DOE25'!G497</f>
        <v>320000</v>
      </c>
      <c r="D158" s="137">
        <f>'DOE25'!H497</f>
        <v>29523811</v>
      </c>
      <c r="E158" s="137">
        <f>'DOE25'!I497</f>
        <v>600000</v>
      </c>
      <c r="F158" s="137">
        <f>'DOE25'!J497</f>
        <v>1605000</v>
      </c>
      <c r="G158" s="138">
        <f t="shared" si="0"/>
        <v>34768811</v>
      </c>
    </row>
    <row r="159" spans="1:9" x14ac:dyDescent="0.2">
      <c r="A159" s="22" t="s">
        <v>36</v>
      </c>
      <c r="B159" s="137">
        <f>'DOE25'!F498</f>
        <v>428688</v>
      </c>
      <c r="C159" s="137">
        <f>'DOE25'!G498</f>
        <v>6400</v>
      </c>
      <c r="D159" s="137">
        <f>'DOE25'!H498</f>
        <v>30662319</v>
      </c>
      <c r="E159" s="137">
        <f>'DOE25'!I498</f>
        <v>203705</v>
      </c>
      <c r="F159" s="137">
        <f>'DOE25'!J498</f>
        <v>230512</v>
      </c>
      <c r="G159" s="138">
        <f t="shared" si="0"/>
        <v>31531624</v>
      </c>
    </row>
    <row r="160" spans="1:9" x14ac:dyDescent="0.2">
      <c r="A160" s="22" t="s">
        <v>37</v>
      </c>
      <c r="B160" s="137">
        <f>'DOE25'!F499</f>
        <v>3148688</v>
      </c>
      <c r="C160" s="137">
        <f>'DOE25'!G499</f>
        <v>326400</v>
      </c>
      <c r="D160" s="137">
        <f>'DOE25'!H499</f>
        <v>60186130</v>
      </c>
      <c r="E160" s="137">
        <f>'DOE25'!I499</f>
        <v>803705</v>
      </c>
      <c r="F160" s="137">
        <f>'DOE25'!J499</f>
        <v>1835512</v>
      </c>
      <c r="G160" s="138">
        <f t="shared" si="0"/>
        <v>66300435</v>
      </c>
    </row>
    <row r="161" spans="1:7" x14ac:dyDescent="0.2">
      <c r="A161" s="22" t="s">
        <v>38</v>
      </c>
      <c r="B161" s="137">
        <f>'DOE25'!F500</f>
        <v>395000</v>
      </c>
      <c r="C161" s="137">
        <f>'DOE25'!G500</f>
        <v>320000</v>
      </c>
      <c r="D161" s="137">
        <f>'DOE25'!H500</f>
        <v>2381076</v>
      </c>
      <c r="E161" s="137">
        <f>'DOE25'!I500</f>
        <v>40000</v>
      </c>
      <c r="F161" s="137">
        <f>'DOE25'!J500</f>
        <v>270000</v>
      </c>
      <c r="G161" s="138">
        <f t="shared" si="0"/>
        <v>3406076</v>
      </c>
    </row>
    <row r="162" spans="1:7" x14ac:dyDescent="0.2">
      <c r="A162" s="22" t="s">
        <v>39</v>
      </c>
      <c r="B162" s="137">
        <f>'DOE25'!F501</f>
        <v>115594</v>
      </c>
      <c r="C162" s="137">
        <f>'DOE25'!G501</f>
        <v>6400</v>
      </c>
      <c r="D162" s="137">
        <f>'DOE25'!H501</f>
        <v>962857</v>
      </c>
      <c r="E162" s="137">
        <f>'DOE25'!I501</f>
        <v>25990</v>
      </c>
      <c r="F162" s="137">
        <f>'DOE25'!J501</f>
        <v>68438</v>
      </c>
      <c r="G162" s="138">
        <f t="shared" si="0"/>
        <v>1179279</v>
      </c>
    </row>
    <row r="163" spans="1:7" x14ac:dyDescent="0.2">
      <c r="A163" s="22" t="s">
        <v>246</v>
      </c>
      <c r="B163" s="137">
        <f>'DOE25'!F502</f>
        <v>510594</v>
      </c>
      <c r="C163" s="137">
        <f>'DOE25'!G502</f>
        <v>326400</v>
      </c>
      <c r="D163" s="137">
        <f>'DOE25'!H502</f>
        <v>3343933</v>
      </c>
      <c r="E163" s="137">
        <f>'DOE25'!I502</f>
        <v>65990</v>
      </c>
      <c r="F163" s="137">
        <f>'DOE25'!J502</f>
        <v>338438</v>
      </c>
      <c r="G163" s="138">
        <f t="shared" si="0"/>
        <v>4585355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D42" sqref="D4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BEDFORD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11568</v>
      </c>
    </row>
    <row r="5" spans="1:4" x14ac:dyDescent="0.2">
      <c r="B5" t="s">
        <v>704</v>
      </c>
      <c r="C5" s="179">
        <f>IF('DOE25'!G664+'DOE25'!G669=0,0,ROUND('DOE25'!G671,0))</f>
        <v>11856</v>
      </c>
    </row>
    <row r="6" spans="1:4" x14ac:dyDescent="0.2">
      <c r="B6" t="s">
        <v>62</v>
      </c>
      <c r="C6" s="179">
        <f>IF('DOE25'!H664+'DOE25'!H669=0,0,ROUND('DOE25'!H671,0))</f>
        <v>10808</v>
      </c>
    </row>
    <row r="7" spans="1:4" x14ac:dyDescent="0.2">
      <c r="B7" t="s">
        <v>705</v>
      </c>
      <c r="C7" s="179">
        <f>IF('DOE25'!I664+'DOE25'!I669=0,0,ROUND('DOE25'!I671,0))</f>
        <v>11385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24310989</v>
      </c>
      <c r="D10" s="182">
        <f>ROUND((C10/$C$28)*100,1)</f>
        <v>44.9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9710761</v>
      </c>
      <c r="D11" s="182">
        <f>ROUND((C11/$C$28)*100,1)</f>
        <v>17.899999999999999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281412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1118068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4299240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1206459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1279895</v>
      </c>
      <c r="D17" s="182">
        <f t="shared" si="0"/>
        <v>2.4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3297378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421019</v>
      </c>
      <c r="D19" s="182">
        <f t="shared" si="0"/>
        <v>0.8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4493304</v>
      </c>
      <c r="D20" s="182">
        <f t="shared" si="0"/>
        <v>8.3000000000000007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2446226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26568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1101401</v>
      </c>
      <c r="D25" s="182">
        <f t="shared" si="0"/>
        <v>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116938.65999999992</v>
      </c>
      <c r="D27" s="182">
        <f t="shared" si="0"/>
        <v>0.2</v>
      </c>
    </row>
    <row r="28" spans="1:4" x14ac:dyDescent="0.2">
      <c r="B28" s="187" t="s">
        <v>723</v>
      </c>
      <c r="C28" s="180">
        <f>SUM(C10:C27)</f>
        <v>54109658.659999996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128997</v>
      </c>
    </row>
    <row r="30" spans="1:4" x14ac:dyDescent="0.2">
      <c r="B30" s="187" t="s">
        <v>729</v>
      </c>
      <c r="C30" s="180">
        <f>SUM(C28:C29)</f>
        <v>54238655.659999996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3526292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43432004</v>
      </c>
      <c r="D35" s="182">
        <f t="shared" ref="D35:D40" si="1">ROUND((C35/$C$41)*100,1)</f>
        <v>73.8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602509.57999999821</v>
      </c>
      <c r="D36" s="182">
        <f t="shared" si="1"/>
        <v>1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11181314</v>
      </c>
      <c r="D37" s="182">
        <f t="shared" si="1"/>
        <v>19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1633613</v>
      </c>
      <c r="D38" s="182">
        <f t="shared" si="1"/>
        <v>2.8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2010853</v>
      </c>
      <c r="D39" s="182">
        <f t="shared" si="1"/>
        <v>3.4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58860293.579999998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4"/>
      <c r="K1" s="214"/>
      <c r="L1" s="214"/>
      <c r="M1" s="215"/>
    </row>
    <row r="2" spans="1:26" ht="12.75" x14ac:dyDescent="0.2">
      <c r="A2" s="293" t="s">
        <v>767</v>
      </c>
      <c r="B2" s="294"/>
      <c r="C2" s="294"/>
      <c r="D2" s="294"/>
      <c r="E2" s="294"/>
      <c r="F2" s="289" t="str">
        <f>'DOE25'!A2</f>
        <v>BEDFORD SCHOOL DISTRICT</v>
      </c>
      <c r="G2" s="290"/>
      <c r="H2" s="290"/>
      <c r="I2" s="290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2"/>
      <c r="B74" s="212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2"/>
      <c r="B75" s="212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2"/>
      <c r="B76" s="212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2"/>
      <c r="B77" s="212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2"/>
      <c r="B78" s="212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2"/>
      <c r="B79" s="212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2"/>
      <c r="B80" s="212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2"/>
      <c r="B81" s="212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2"/>
      <c r="B82" s="212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2"/>
      <c r="B83" s="212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2"/>
      <c r="B84" s="212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2"/>
      <c r="B85" s="212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2"/>
      <c r="B86" s="212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2"/>
      <c r="B87" s="212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2"/>
      <c r="B88" s="212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2"/>
      <c r="B89" s="212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2"/>
      <c r="B90" s="212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2012-08-30T11:48:35Z</cp:lastPrinted>
  <dcterms:created xsi:type="dcterms:W3CDTF">1997-12-04T19:04:30Z</dcterms:created>
  <dcterms:modified xsi:type="dcterms:W3CDTF">2012-11-21T14:16:41Z</dcterms:modified>
</cp:coreProperties>
</file>