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-15" yWindow="5040" windowWidth="24030" windowHeight="5100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471" i="1" l="1"/>
  <c r="G664" i="1"/>
  <c r="F664" i="1"/>
  <c r="G201" i="1"/>
  <c r="G199" i="1"/>
  <c r="J590" i="1" l="1"/>
  <c r="I590" i="1"/>
  <c r="H590" i="1"/>
  <c r="H243" i="1" l="1"/>
  <c r="H242" i="1"/>
  <c r="I242" i="1"/>
  <c r="H241" i="1"/>
  <c r="H239" i="1"/>
  <c r="H235" i="1"/>
  <c r="H225" i="1"/>
  <c r="H224" i="1"/>
  <c r="I224" i="1"/>
  <c r="H223" i="1"/>
  <c r="H221" i="1"/>
  <c r="H217" i="1"/>
  <c r="H207" i="1"/>
  <c r="H206" i="1"/>
  <c r="I206" i="1"/>
  <c r="H205" i="1"/>
  <c r="H203" i="1"/>
  <c r="H199" i="1"/>
  <c r="G244" i="1" l="1"/>
  <c r="G243" i="1"/>
  <c r="G242" i="1"/>
  <c r="G240" i="1"/>
  <c r="G239" i="1"/>
  <c r="G238" i="1"/>
  <c r="G237" i="1"/>
  <c r="G235" i="1"/>
  <c r="G234" i="1"/>
  <c r="G233" i="1"/>
  <c r="G232" i="1"/>
  <c r="G226" i="1"/>
  <c r="G225" i="1"/>
  <c r="G224" i="1"/>
  <c r="G223" i="1"/>
  <c r="G222" i="1"/>
  <c r="G221" i="1"/>
  <c r="G220" i="1"/>
  <c r="G219" i="1"/>
  <c r="G217" i="1"/>
  <c r="G215" i="1"/>
  <c r="G214" i="1"/>
  <c r="G208" i="1"/>
  <c r="G207" i="1"/>
  <c r="G206" i="1"/>
  <c r="G205" i="1"/>
  <c r="G204" i="1"/>
  <c r="G203" i="1"/>
  <c r="G202" i="1"/>
  <c r="G197" i="1"/>
  <c r="G196" i="1"/>
  <c r="G527" i="1"/>
  <c r="F527" i="1"/>
  <c r="J522" i="1"/>
  <c r="I522" i="1"/>
  <c r="H522" i="1"/>
  <c r="H542" i="1"/>
  <c r="G542" i="1"/>
  <c r="F542" i="1"/>
  <c r="I527" i="1"/>
  <c r="G522" i="1"/>
  <c r="F522" i="1"/>
  <c r="K532" i="1"/>
  <c r="J532" i="1"/>
  <c r="I532" i="1"/>
  <c r="H532" i="1"/>
  <c r="G532" i="1"/>
  <c r="F532" i="1"/>
  <c r="G526" i="1"/>
  <c r="F526" i="1"/>
  <c r="J521" i="1"/>
  <c r="I521" i="1"/>
  <c r="H521" i="1"/>
  <c r="H520" i="1"/>
  <c r="G541" i="1"/>
  <c r="F541" i="1"/>
  <c r="G521" i="1"/>
  <c r="F521" i="1"/>
  <c r="K531" i="1"/>
  <c r="J531" i="1"/>
  <c r="I531" i="1"/>
  <c r="H531" i="1"/>
  <c r="G531" i="1"/>
  <c r="F531" i="1"/>
  <c r="G525" i="1"/>
  <c r="F525" i="1"/>
  <c r="J520" i="1"/>
  <c r="I520" i="1"/>
  <c r="G520" i="1"/>
  <c r="F520" i="1"/>
  <c r="G540" i="1"/>
  <c r="F540" i="1"/>
  <c r="K530" i="1"/>
  <c r="J530" i="1"/>
  <c r="I530" i="1"/>
  <c r="H530" i="1"/>
  <c r="G530" i="1"/>
  <c r="F530" i="1"/>
  <c r="H527" i="1"/>
  <c r="H526" i="1"/>
  <c r="I526" i="1"/>
  <c r="H525" i="1"/>
  <c r="I525" i="1"/>
  <c r="I201" i="1" l="1"/>
  <c r="J201" i="1"/>
  <c r="J591" i="1"/>
  <c r="I591" i="1"/>
  <c r="H591" i="1"/>
  <c r="I596" i="1"/>
  <c r="H596" i="1"/>
  <c r="J594" i="1"/>
  <c r="I594" i="1"/>
  <c r="H594" i="1"/>
  <c r="J593" i="1"/>
  <c r="I593" i="1"/>
  <c r="H593" i="1"/>
  <c r="F581" i="1"/>
  <c r="H578" i="1"/>
  <c r="F578" i="1"/>
  <c r="I498" i="1" l="1"/>
  <c r="I497" i="1"/>
  <c r="H497" i="1"/>
  <c r="H498" i="1"/>
  <c r="G357" i="1" l="1"/>
  <c r="F357" i="1"/>
  <c r="K357" i="1" l="1"/>
  <c r="J359" i="1"/>
  <c r="J358" i="1"/>
  <c r="J357" i="1"/>
  <c r="I359" i="1"/>
  <c r="I358" i="1"/>
  <c r="I357" i="1"/>
  <c r="H357" i="1"/>
  <c r="G359" i="1"/>
  <c r="G358" i="1"/>
  <c r="F358" i="1"/>
  <c r="G294" i="1" l="1"/>
  <c r="J232" i="1" l="1"/>
  <c r="J313" i="1"/>
  <c r="I232" i="1"/>
  <c r="H232" i="1"/>
  <c r="J214" i="1"/>
  <c r="J294" i="1"/>
  <c r="I294" i="1"/>
  <c r="I214" i="1"/>
  <c r="J197" i="1"/>
  <c r="J276" i="1"/>
  <c r="J196" i="1"/>
  <c r="J275" i="1"/>
  <c r="H275" i="1"/>
  <c r="H196" i="1"/>
  <c r="H319" i="1" l="1"/>
  <c r="H318" i="1"/>
  <c r="K316" i="1"/>
  <c r="K315" i="1"/>
  <c r="J315" i="1"/>
  <c r="I315" i="1"/>
  <c r="H315" i="1"/>
  <c r="G275" i="1"/>
  <c r="G313" i="1"/>
  <c r="F313" i="1"/>
  <c r="H300" i="1"/>
  <c r="F294" i="1"/>
  <c r="G280" i="1"/>
  <c r="F280" i="1"/>
  <c r="H282" i="1"/>
  <c r="H281" i="1"/>
  <c r="I276" i="1"/>
  <c r="H276" i="1"/>
  <c r="G276" i="1"/>
  <c r="F276" i="1"/>
  <c r="I275" i="1"/>
  <c r="F275" i="1"/>
  <c r="G318" i="1"/>
  <c r="F318" i="1"/>
  <c r="J314" i="1"/>
  <c r="I314" i="1"/>
  <c r="H314" i="1"/>
  <c r="H305" i="1"/>
  <c r="G299" i="1"/>
  <c r="F299" i="1"/>
  <c r="I297" i="1"/>
  <c r="H297" i="1"/>
  <c r="G297" i="1"/>
  <c r="F297" i="1"/>
  <c r="J295" i="1"/>
  <c r="I295" i="1"/>
  <c r="H295" i="1"/>
  <c r="H294" i="1"/>
  <c r="G278" i="1"/>
  <c r="H286" i="1"/>
  <c r="I278" i="1"/>
  <c r="H278" i="1"/>
  <c r="F278" i="1"/>
  <c r="F244" i="1"/>
  <c r="F243" i="1"/>
  <c r="K243" i="1"/>
  <c r="I243" i="1"/>
  <c r="J242" i="1"/>
  <c r="F242" i="1"/>
  <c r="K241" i="1"/>
  <c r="G241" i="1"/>
  <c r="F241" i="1"/>
  <c r="K239" i="1"/>
  <c r="J239" i="1"/>
  <c r="I239" i="1"/>
  <c r="F239" i="1"/>
  <c r="H238" i="1"/>
  <c r="H237" i="1"/>
  <c r="F237" i="1"/>
  <c r="I237" i="1"/>
  <c r="I233" i="1"/>
  <c r="H233" i="1"/>
  <c r="F233" i="1"/>
  <c r="F232" i="1"/>
  <c r="F225" i="1" l="1"/>
  <c r="K225" i="1"/>
  <c r="I225" i="1"/>
  <c r="J224" i="1"/>
  <c r="F224" i="1"/>
  <c r="K221" i="1"/>
  <c r="J221" i="1"/>
  <c r="I221" i="1"/>
  <c r="F221" i="1"/>
  <c r="H220" i="1"/>
  <c r="H219" i="1"/>
  <c r="I219" i="1"/>
  <c r="F219" i="1"/>
  <c r="I215" i="1"/>
  <c r="H215" i="1"/>
  <c r="F215" i="1"/>
  <c r="H214" i="1"/>
  <c r="F214" i="1"/>
  <c r="J237" i="1"/>
  <c r="I204" i="1" l="1"/>
  <c r="K240" i="1" l="1"/>
  <c r="J240" i="1"/>
  <c r="I240" i="1"/>
  <c r="H240" i="1"/>
  <c r="F240" i="1"/>
  <c r="J238" i="1"/>
  <c r="I238" i="1"/>
  <c r="F238" i="1"/>
  <c r="K237" i="1"/>
  <c r="K235" i="1"/>
  <c r="J235" i="1"/>
  <c r="I235" i="1"/>
  <c r="F235" i="1"/>
  <c r="J234" i="1"/>
  <c r="I234" i="1"/>
  <c r="F234" i="1"/>
  <c r="H234" i="1"/>
  <c r="K232" i="1"/>
  <c r="K222" i="1"/>
  <c r="J222" i="1"/>
  <c r="H222" i="1"/>
  <c r="F222" i="1"/>
  <c r="I220" i="1"/>
  <c r="F220" i="1"/>
  <c r="J219" i="1"/>
  <c r="K219" i="1"/>
  <c r="K217" i="1"/>
  <c r="I217" i="1"/>
  <c r="F217" i="1"/>
  <c r="K214" i="1"/>
  <c r="I197" i="1"/>
  <c r="H197" i="1"/>
  <c r="F197" i="1"/>
  <c r="F207" i="1" l="1"/>
  <c r="F206" i="1"/>
  <c r="K204" i="1"/>
  <c r="H204" i="1"/>
  <c r="F204" i="1"/>
  <c r="K202" i="1"/>
  <c r="H202" i="1"/>
  <c r="H201" i="1"/>
  <c r="F201" i="1"/>
  <c r="K201" i="1"/>
  <c r="K199" i="1"/>
  <c r="I199" i="1"/>
  <c r="F203" i="1"/>
  <c r="F196" i="1"/>
  <c r="F199" i="1"/>
  <c r="I196" i="1"/>
  <c r="K207" i="1" l="1"/>
  <c r="J206" i="1"/>
  <c r="K205" i="1"/>
  <c r="F205" i="1"/>
  <c r="K203" i="1"/>
  <c r="J203" i="1"/>
  <c r="I203" i="1"/>
  <c r="H160" i="1" l="1"/>
  <c r="H158" i="1"/>
  <c r="H154" i="1"/>
  <c r="H153" i="1"/>
  <c r="H101" i="1"/>
  <c r="F40" i="2" l="1"/>
  <c r="D39" i="2"/>
  <c r="G654" i="1" l="1"/>
  <c r="F47" i="2" l="1"/>
  <c r="E47" i="2"/>
  <c r="D47" i="2"/>
  <c r="C47" i="2"/>
  <c r="F46" i="2"/>
  <c r="E46" i="2"/>
  <c r="E49" i="2" s="1"/>
  <c r="D46" i="2"/>
  <c r="D49" i="2" s="1"/>
  <c r="D50" i="2" s="1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C19" i="10" s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C118" i="2" s="1"/>
  <c r="F12" i="13"/>
  <c r="G12" i="13"/>
  <c r="L204" i="1"/>
  <c r="L222" i="1"/>
  <c r="C18" i="10" s="1"/>
  <c r="L240" i="1"/>
  <c r="F14" i="13"/>
  <c r="G14" i="13"/>
  <c r="L206" i="1"/>
  <c r="L224" i="1"/>
  <c r="L242" i="1"/>
  <c r="F15" i="13"/>
  <c r="G15" i="13"/>
  <c r="L207" i="1"/>
  <c r="L225" i="1"/>
  <c r="L243" i="1"/>
  <c r="H661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G31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C55" i="2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I146" i="1"/>
  <c r="I161" i="1"/>
  <c r="C11" i="10"/>
  <c r="C12" i="10"/>
  <c r="C13" i="10"/>
  <c r="L249" i="1"/>
  <c r="L331" i="1"/>
  <c r="L253" i="1"/>
  <c r="C24" i="10" s="1"/>
  <c r="C25" i="10"/>
  <c r="L267" i="1"/>
  <c r="L268" i="1"/>
  <c r="L348" i="1"/>
  <c r="L349" i="1"/>
  <c r="I664" i="1"/>
  <c r="I669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C18" i="2" s="1"/>
  <c r="D8" i="2"/>
  <c r="E8" i="2"/>
  <c r="E18" i="2" s="1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C114" i="2" s="1"/>
  <c r="E111" i="2"/>
  <c r="C112" i="2"/>
  <c r="E112" i="2"/>
  <c r="C113" i="2"/>
  <c r="E113" i="2"/>
  <c r="D114" i="2"/>
  <c r="F114" i="2"/>
  <c r="G114" i="2"/>
  <c r="C117" i="2"/>
  <c r="E117" i="2"/>
  <c r="E118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G618" i="1" s="1"/>
  <c r="I19" i="1"/>
  <c r="F32" i="1"/>
  <c r="G32" i="1"/>
  <c r="H32" i="1"/>
  <c r="I32" i="1"/>
  <c r="F50" i="1"/>
  <c r="F51" i="1" s="1"/>
  <c r="H616" i="1" s="1"/>
  <c r="J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F256" i="1" s="1"/>
  <c r="F270" i="1" s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9" i="1"/>
  <c r="J619" i="1" s="1"/>
  <c r="G621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8" i="1"/>
  <c r="G639" i="1"/>
  <c r="H639" i="1"/>
  <c r="G640" i="1"/>
  <c r="H640" i="1"/>
  <c r="G641" i="1"/>
  <c r="J641" i="1" s="1"/>
  <c r="H641" i="1"/>
  <c r="G642" i="1"/>
  <c r="H642" i="1"/>
  <c r="G643" i="1"/>
  <c r="H643" i="1"/>
  <c r="G644" i="1"/>
  <c r="H644" i="1"/>
  <c r="G649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G163" i="2"/>
  <c r="G159" i="2"/>
  <c r="F31" i="2"/>
  <c r="C26" i="10"/>
  <c r="L350" i="1"/>
  <c r="L289" i="1"/>
  <c r="A31" i="12"/>
  <c r="C69" i="2"/>
  <c r="D12" i="13"/>
  <c r="C12" i="13" s="1"/>
  <c r="G8" i="2"/>
  <c r="G161" i="2"/>
  <c r="D61" i="2"/>
  <c r="D62" i="2" s="1"/>
  <c r="D18" i="13"/>
  <c r="C18" i="13" s="1"/>
  <c r="F102" i="2"/>
  <c r="D18" i="2"/>
  <c r="D17" i="13"/>
  <c r="C17" i="13" s="1"/>
  <c r="G158" i="2"/>
  <c r="C90" i="2"/>
  <c r="G80" i="2"/>
  <c r="F77" i="2"/>
  <c r="F80" i="2" s="1"/>
  <c r="F61" i="2"/>
  <c r="F62" i="2" s="1"/>
  <c r="D31" i="2"/>
  <c r="C77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 s="1"/>
  <c r="C61" i="2"/>
  <c r="E31" i="2"/>
  <c r="C31" i="2"/>
  <c r="G61" i="2"/>
  <c r="D29" i="13"/>
  <c r="C29" i="13" s="1"/>
  <c r="D19" i="13"/>
  <c r="C19" i="13" s="1"/>
  <c r="D14" i="13"/>
  <c r="C14" i="13" s="1"/>
  <c r="E13" i="13"/>
  <c r="C13" i="13" s="1"/>
  <c r="J618" i="1" l="1"/>
  <c r="G623" i="1"/>
  <c r="G622" i="1"/>
  <c r="C62" i="2"/>
  <c r="D15" i="13"/>
  <c r="C15" i="13" s="1"/>
  <c r="G650" i="1"/>
  <c r="H646" i="1"/>
  <c r="C119" i="2"/>
  <c r="C127" i="2" s="1"/>
  <c r="F544" i="1"/>
  <c r="G660" i="1"/>
  <c r="H660" i="1"/>
  <c r="F660" i="1"/>
  <c r="L361" i="1"/>
  <c r="C27" i="10" s="1"/>
  <c r="E114" i="2"/>
  <c r="L327" i="1"/>
  <c r="G661" i="1"/>
  <c r="F31" i="13"/>
  <c r="I337" i="1"/>
  <c r="I351" i="1" s="1"/>
  <c r="C10" i="10"/>
  <c r="F661" i="1"/>
  <c r="E8" i="13"/>
  <c r="C8" i="13" s="1"/>
  <c r="C17" i="10"/>
  <c r="C21" i="10"/>
  <c r="C20" i="10"/>
  <c r="D7" i="13"/>
  <c r="C7" i="13" s="1"/>
  <c r="D6" i="13"/>
  <c r="C6" i="13" s="1"/>
  <c r="L246" i="1"/>
  <c r="H659" i="1" s="1"/>
  <c r="H663" i="1" s="1"/>
  <c r="H666" i="1" s="1"/>
  <c r="K256" i="1"/>
  <c r="K270" i="1" s="1"/>
  <c r="J649" i="1"/>
  <c r="I661" i="1"/>
  <c r="C16" i="10"/>
  <c r="G256" i="1"/>
  <c r="G270" i="1" s="1"/>
  <c r="G648" i="1"/>
  <c r="J648" i="1" s="1"/>
  <c r="C15" i="10"/>
  <c r="I256" i="1"/>
  <c r="I270" i="1" s="1"/>
  <c r="L228" i="1"/>
  <c r="L210" i="1"/>
  <c r="G33" i="13"/>
  <c r="A22" i="12"/>
  <c r="F139" i="1"/>
  <c r="C80" i="2"/>
  <c r="E77" i="2"/>
  <c r="E80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G551" i="1"/>
  <c r="L433" i="1"/>
  <c r="G637" i="1" s="1"/>
  <c r="E50" i="2"/>
  <c r="J643" i="1"/>
  <c r="J642" i="1"/>
  <c r="J475" i="1"/>
  <c r="H625" i="1" s="1"/>
  <c r="H475" i="1"/>
  <c r="H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D103" i="2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L564" i="1"/>
  <c r="L570" i="1" s="1"/>
  <c r="G544" i="1"/>
  <c r="L544" i="1"/>
  <c r="H544" i="1"/>
  <c r="K550" i="1"/>
  <c r="F143" i="2"/>
  <c r="F144" i="2" s="1"/>
  <c r="J623" i="1" l="1"/>
  <c r="C103" i="2"/>
  <c r="K551" i="1"/>
  <c r="G634" i="1"/>
  <c r="J634" i="1" s="1"/>
  <c r="E144" i="2"/>
  <c r="H671" i="1"/>
  <c r="C6" i="10" s="1"/>
  <c r="C28" i="10"/>
  <c r="D25" i="10" s="1"/>
  <c r="L256" i="1"/>
  <c r="L270" i="1" s="1"/>
  <c r="G631" i="1" s="1"/>
  <c r="J631" i="1" s="1"/>
  <c r="H647" i="1"/>
  <c r="J647" i="1" s="1"/>
  <c r="F659" i="1"/>
  <c r="F663" i="1" s="1"/>
  <c r="F666" i="1" s="1"/>
  <c r="F192" i="1"/>
  <c r="G626" i="1" s="1"/>
  <c r="J626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D12" i="10" l="1"/>
  <c r="D19" i="10"/>
  <c r="D17" i="10"/>
  <c r="D15" i="10"/>
  <c r="D21" i="10"/>
  <c r="D16" i="10"/>
  <c r="D27" i="10"/>
  <c r="D10" i="10"/>
  <c r="D20" i="10"/>
  <c r="D13" i="10"/>
  <c r="D18" i="10"/>
  <c r="D26" i="10"/>
  <c r="C30" i="10"/>
  <c r="D22" i="10"/>
  <c r="D24" i="10"/>
  <c r="D23" i="10"/>
  <c r="D11" i="10"/>
  <c r="F671" i="1"/>
  <c r="C4" i="10" s="1"/>
  <c r="G636" i="1"/>
  <c r="J636" i="1" s="1"/>
  <c r="H645" i="1"/>
  <c r="J645" i="1" s="1"/>
  <c r="D33" i="13"/>
  <c r="D36" i="13" s="1"/>
  <c r="G663" i="1"/>
  <c r="I659" i="1"/>
  <c r="I663" i="1" s="1"/>
  <c r="J625" i="1"/>
  <c r="D28" i="10" l="1"/>
  <c r="I666" i="1"/>
  <c r="I671" i="1"/>
  <c r="C7" i="10" s="1"/>
  <c r="G671" i="1"/>
  <c r="C5" i="10" s="1"/>
  <c r="G666" i="1"/>
  <c r="E87" i="2" l="1"/>
  <c r="E90" i="2" s="1"/>
  <c r="E103" i="2" s="1"/>
  <c r="H161" i="1"/>
  <c r="H168" i="1" s="1"/>
  <c r="H192" i="1" l="1"/>
  <c r="G628" i="1" s="1"/>
  <c r="C39" i="10"/>
  <c r="J628" i="1" l="1"/>
  <c r="H655" i="1"/>
  <c r="C41" i="10"/>
  <c r="D39" i="10" s="1"/>
  <c r="D36" i="10" l="1"/>
  <c r="D38" i="10"/>
  <c r="D35" i="10"/>
  <c r="D40" i="10"/>
  <c r="D37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<sst xmlns="http://schemas.openxmlformats.org/spreadsheetml/2006/main" count="3952" uniqueCount="917">
  <si>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</si>
  <si>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</si>
  <si>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</si>
  <si>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</si>
  <si>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</si>
  <si>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</si>
  <si>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</si>
  <si>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</si>
  <si>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</si>
  <si>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</si>
  <si>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</si>
  <si>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</si>
  <si>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</si>
  <si>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</si>
  <si>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</si>
  <si>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</si>
  <si>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</si>
  <si>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</si>
  <si>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</si>
  <si>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</si>
  <si>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</si>
  <si>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</si>
  <si>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</si>
  <si>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</si>
  <si>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</si>
  <si>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</si>
  <si>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</si>
  <si>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</si>
  <si>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</si>
  <si>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</si>
  <si>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</si>
  <si>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</si>
  <si>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</si>
  <si>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</si>
  <si>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</si>
  <si>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</si>
  <si>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</si>
  <si>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</si>
  <si>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</si>
  <si>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</si>
  <si>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</si>
  <si>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</si>
  <si>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</si>
  <si>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</si>
  <si>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</si>
  <si>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</si>
  <si>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</si>
  <si>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</si>
  <si>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</si>
  <si>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</si>
  <si>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</si>
  <si>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</si>
  <si>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</si>
  <si>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</si>
  <si>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</si>
  <si>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</si>
  <si>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</si>
  <si>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</si>
  <si>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</si>
  <si>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</si>
  <si>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</si>
  <si>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</si>
  <si>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</si>
  <si>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</si>
  <si>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</si>
  <si>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</si>
  <si>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</si>
  <si>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</si>
  <si>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</si>
  <si>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</si>
  <si>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</si>
  <si>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</si>
  <si>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</si>
  <si>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</si>
  <si>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</si>
  <si>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</si>
  <si>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</si>
  <si>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</si>
  <si>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</si>
  <si>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</si>
  <si>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</si>
  <si>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</si>
  <si>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</si>
  <si>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</si>
  <si>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</si>
  <si>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</si>
  <si>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</si>
  <si>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</si>
  <si>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</si>
  <si>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</si>
  <si>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</si>
  <si>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</si>
  <si>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</si>
  <si>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</si>
  <si>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</si>
  <si>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</si>
  <si>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</si>
  <si>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</si>
  <si>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</si>
  <si>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</si>
  <si>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</si>
  <si>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</si>
  <si>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</si>
  <si>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</si>
  <si>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</si>
  <si>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</si>
  <si>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</si>
  <si>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</si>
  <si>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</si>
  <si>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</si>
  <si>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</si>
  <si>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</si>
  <si>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</si>
  <si>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</si>
  <si>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</si>
  <si>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</si>
  <si>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</si>
  <si>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</si>
  <si>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</si>
  <si>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</si>
  <si>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</si>
  <si>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</si>
  <si>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</si>
  <si>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</si>
  <si>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</si>
  <si>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</si>
  <si>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</si>
  <si>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</si>
  <si>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</si>
  <si>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</si>
  <si>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</si>
  <si>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</si>
  <si>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</si>
  <si>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</si>
  <si>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</si>
  <si>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</si>
  <si>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</si>
  <si>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</si>
  <si>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</si>
  <si>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</si>
  <si>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</si>
  <si>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</si>
  <si>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</si>
  <si>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</si>
  <si>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</si>
  <si>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</si>
  <si>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</si>
  <si>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</si>
  <si>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</si>
  <si>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</si>
  <si>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</si>
  <si>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</si>
  <si>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</si>
  <si>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</si>
  <si>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</si>
  <si>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</si>
  <si>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</si>
  <si>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</si>
  <si>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</si>
  <si>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</si>
  <si>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</si>
  <si>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</si>
  <si>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</si>
  <si>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</si>
  <si>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</si>
  <si>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</si>
  <si>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</si>
  <si>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</si>
  <si>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</si>
  <si>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</si>
  <si>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</si>
  <si>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</si>
  <si>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</si>
  <si>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</si>
  <si>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</si>
  <si>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</si>
  <si>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</si>
  <si>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</si>
  <si>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</si>
  <si>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</si>
  <si>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</si>
  <si>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</si>
  <si>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</si>
  <si>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</si>
  <si>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</si>
  <si>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</si>
  <si>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</si>
  <si>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</si>
  <si>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</si>
  <si>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</si>
  <si>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</si>
  <si>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</si>
  <si>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</si>
  <si>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</si>
  <si>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</si>
  <si>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</si>
  <si>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</si>
  <si>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</si>
  <si>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</si>
  <si>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</si>
  <si>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</si>
  <si>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</si>
  <si>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</si>
  <si>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</si>
  <si>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</si>
  <si>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</si>
  <si>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</si>
  <si>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</si>
  <si>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</si>
  <si>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</si>
  <si>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</si>
  <si>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</si>
  <si>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</si>
  <si>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</si>
  <si>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</si>
  <si>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</si>
  <si>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</si>
  <si>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</si>
  <si>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</si>
  <si>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</si>
  <si>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</si>
  <si>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</si>
  <si>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</si>
  <si>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</si>
  <si>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</si>
  <si>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</si>
  <si>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</si>
  <si>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</si>
  <si>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</si>
  <si>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</si>
  <si>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</si>
  <si>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</si>
  <si>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</si>
  <si>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</si>
  <si>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</si>
  <si>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</si>
  <si>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</si>
  <si>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</si>
  <si>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</si>
  <si>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</si>
  <si>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</si>
  <si>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</si>
  <si>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</si>
  <si>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</si>
  <si>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</si>
  <si>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</si>
  <si>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</si>
  <si>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</si>
  <si>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</si>
  <si>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</si>
  <si>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</si>
  <si>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</si>
  <si>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</si>
  <si>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</si>
  <si>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</si>
  <si>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</si>
  <si>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</si>
  <si>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</si>
  <si>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</si>
  <si>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</si>
  <si>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</si>
  <si>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</si>
  <si>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</si>
  <si>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</si>
  <si>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</si>
  <si>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</si>
  <si>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</si>
  <si>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</si>
  <si>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</si>
  <si>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</si>
  <si>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</si>
  <si>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</si>
  <si>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</si>
  <si>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</si>
  <si>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</si>
  <si>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</si>
  <si>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</si>
  <si>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</si>
  <si>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</si>
  <si>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</si>
  <si>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</si>
  <si>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</si>
  <si>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</si>
  <si>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</si>
  <si>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</si>
  <si>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</si>
  <si>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</si>
  <si>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</si>
  <si>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</si>
  <si>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</si>
  <si>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</si>
  <si>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</si>
  <si>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</si>
  <si>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</si>
  <si>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</si>
  <si>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</si>
  <si>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</si>
  <si>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</si>
  <si>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</si>
  <si>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</si>
  <si>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</si>
  <si>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</si>
  <si>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</si>
  <si>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</si>
  <si>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</si>
  <si>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</si>
  <si>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</si>
  <si>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</si>
  <si>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</si>
  <si>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</si>
  <si>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</si>
  <si>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</si>
  <si>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</si>
  <si>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</si>
  <si>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</si>
  <si>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</si>
  <si>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</si>
  <si>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</si>
  <si>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</si>
  <si>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</si>
  <si>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</si>
  <si>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</si>
  <si>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</si>
  <si>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</si>
  <si>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</si>
  <si>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</si>
  <si>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</si>
  <si>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</si>
  <si>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</si>
  <si>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</si>
  <si>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</si>
  <si>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</si>
  <si>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</si>
  <si>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</si>
  <si>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</si>
  <si>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</si>
  <si>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</si>
  <si>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</si>
  <si>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</si>
  <si>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</si>
  <si>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</si>
  <si>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</si>
  <si>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</si>
  <si>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</si>
  <si>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</si>
  <si>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</si>
  <si>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</si>
  <si>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</si>
  <si>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</si>
  <si>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</si>
  <si>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</si>
  <si>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</si>
  <si>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</si>
  <si>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</si>
  <si>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</si>
  <si>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</si>
  <si>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</si>
  <si>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</si>
  <si>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</si>
  <si>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</si>
  <si>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</si>
  <si>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</si>
  <si>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</si>
  <si>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</si>
  <si>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</si>
  <si>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</si>
  <si>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</si>
  <si>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</si>
  <si>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</si>
  <si>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</si>
  <si>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</si>
  <si>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</si>
  <si>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</si>
  <si>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</si>
  <si>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</si>
  <si>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</si>
  <si>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</si>
  <si>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</si>
  <si>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</si>
  <si>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</si>
  <si>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</si>
  <si>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</si>
  <si>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</si>
  <si>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</si>
  <si>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</si>
  <si>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</si>
  <si>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</si>
  <si>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</si>
  <si>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</si>
  <si>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</si>
  <si>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</si>
  <si>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</si>
  <si>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</si>
  <si>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</si>
  <si>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</si>
  <si>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</si>
  <si>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</si>
  <si>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</si>
  <si>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</si>
  <si>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</si>
  <si>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</si>
  <si>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</si>
  <si>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</si>
  <si>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</si>
  <si>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</si>
  <si>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</si>
  <si>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</si>
  <si>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</si>
  <si>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</si>
  <si>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</si>
  <si>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</si>
  <si>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</si>
  <si>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</si>
  <si>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</si>
  <si>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</si>
  <si>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</si>
  <si>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</si>
  <si>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</si>
  <si>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</si>
  <si>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</si>
  <si>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</si>
  <si>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</si>
  <si>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</si>
  <si>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</si>
  <si>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</si>
  <si>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</si>
  <si>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</si>
  <si>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</si>
  <si>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</si>
  <si>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</si>
  <si>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</si>
  <si>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</si>
  <si>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</si>
  <si>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</si>
  <si>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</si>
  <si>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</si>
  <si>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</si>
  <si>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</si>
  <si>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</si>
  <si>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</si>
  <si>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</si>
  <si>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</si>
  <si>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</si>
  <si>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</si>
  <si>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</si>
  <si>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</si>
  <si>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</si>
  <si>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</si>
  <si>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</si>
  <si>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</si>
  <si>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</si>
  <si>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</si>
  <si>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</si>
  <si>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</si>
  <si>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</si>
  <si>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</si>
  <si>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</si>
  <si>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</si>
  <si>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</si>
  <si>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</si>
  <si>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</si>
  <si>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</si>
  <si>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</si>
  <si>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</si>
  <si>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</si>
  <si>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</si>
  <si>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</si>
  <si>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</si>
  <si>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</si>
  <si>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</si>
  <si>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</si>
  <si>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</si>
  <si>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</si>
  <si>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</si>
  <si>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</si>
  <si>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</si>
  <si>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</si>
  <si>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</si>
  <si>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</si>
  <si>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</si>
  <si>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</si>
  <si>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</si>
  <si>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</si>
  <si>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</si>
  <si>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</si>
  <si>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</si>
  <si>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</si>
  <si>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</si>
  <si>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</si>
  <si>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</si>
  <si>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</si>
  <si>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</si>
  <si>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</si>
  <si>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</si>
  <si>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</si>
  <si>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</si>
  <si>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</si>
  <si>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</si>
  <si>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</si>
  <si>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</si>
  <si>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</si>
  <si>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</si>
  <si>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</si>
  <si>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</si>
  <si>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</si>
  <si>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</si>
  <si>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</si>
  <si>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</si>
  <si>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</si>
  <si>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</si>
  <si>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</si>
  <si>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</si>
  <si>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</si>
  <si>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</si>
  <si>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</si>
  <si>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</si>
  <si>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</si>
  <si>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</si>
  <si>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</si>
  <si>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</si>
  <si>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</si>
  <si>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</si>
  <si>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</si>
  <si>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</si>
  <si>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</si>
  <si>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</si>
  <si>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</si>
  <si>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</si>
  <si>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</si>
  <si>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</si>
  <si>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</si>
  <si>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</si>
  <si>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</si>
  <si>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</si>
  <si>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</si>
  <si>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</si>
  <si>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</si>
  <si>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</si>
  <si>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</si>
  <si>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</si>
  <si>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</si>
  <si>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</si>
  <si>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</si>
  <si>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</si>
  <si>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</si>
  <si>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</si>
  <si>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</si>
  <si>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</si>
  <si>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</si>
  <si>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</si>
  <si>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</si>
  <si>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</si>
  <si>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</si>
  <si>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</si>
  <si>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</si>
  <si>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</si>
  <si>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</si>
  <si>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</si>
  <si>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</si>
  <si>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</si>
  <si>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</si>
  <si>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</si>
  <si>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</si>
  <si>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</si>
  <si>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</si>
  <si>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</si>
  <si>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</si>
  <si>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</si>
  <si>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</si>
  <si>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</si>
  <si>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</si>
  <si>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</si>
  <si>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</si>
  <si>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</si>
  <si>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</si>
  <si>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</si>
  <si>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</si>
  <si>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</si>
  <si>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</si>
  <si>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</si>
  <si>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</si>
  <si>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</si>
  <si>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</si>
  <si>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</si>
  <si>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</si>
  <si>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</si>
  <si>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</si>
  <si>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</si>
  <si>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</si>
  <si>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</si>
  <si>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</si>
  <si>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</si>
  <si>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</si>
  <si>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</si>
  <si>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</si>
  <si>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</si>
  <si>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</si>
  <si>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</si>
  <si>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</si>
  <si>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</si>
  <si>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</si>
  <si>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</si>
  <si>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</si>
  <si>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</si>
  <si>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</si>
  <si>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</si>
  <si>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</si>
  <si>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</si>
  <si>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</si>
  <si>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</si>
  <si>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</si>
  <si>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</si>
  <si>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</si>
  <si>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</si>
  <si>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</si>
  <si>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</si>
  <si>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</si>
  <si>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</si>
  <si>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</si>
  <si>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</si>
  <si>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</si>
  <si>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</si>
  <si>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</si>
  <si>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</si>
  <si>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</si>
  <si>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</si>
  <si>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</si>
  <si>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</si>
  <si>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</si>
  <si>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</si>
  <si>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</si>
  <si>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</si>
  <si>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</si>
  <si>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</si>
  <si>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</si>
  <si>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</si>
  <si>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</si>
  <si>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</si>
  <si>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</si>
  <si>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</si>
  <si>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</si>
  <si>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</si>
  <si>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</si>
  <si>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</si>
  <si>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</si>
  <si>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</si>
  <si>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</si>
  <si>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</si>
  <si>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</si>
  <si>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</si>
  <si>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</si>
  <si>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</si>
  <si>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</si>
  <si>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</si>
  <si>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</si>
  <si>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</si>
  <si>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</si>
  <si>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</si>
  <si>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</si>
  <si>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</si>
  <si>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</si>
  <si>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</si>
  <si>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</si>
  <si>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</si>
  <si>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</si>
  <si>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</si>
  <si>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</si>
  <si>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</si>
  <si>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</si>
  <si>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</si>
  <si>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</si>
  <si>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</si>
  <si>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</si>
  <si>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</si>
  <si>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</si>
  <si>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</si>
  <si>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</si>
  <si>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</si>
  <si>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</si>
  <si>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</si>
  <si>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</si>
  <si>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</si>
  <si>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</si>
  <si>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</si>
  <si>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</si>
  <si>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</si>
  <si>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</si>
  <si>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</si>
  <si>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</si>
  <si>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</si>
  <si>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</si>
  <si>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</si>
  <si>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</si>
  <si>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</si>
  <si>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</si>
  <si>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</si>
  <si>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</si>
  <si>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</si>
  <si>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</si>
  <si>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</si>
  <si>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</si>
  <si>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</si>
  <si>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</si>
  <si>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</si>
  <si>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</si>
  <si>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</si>
  <si>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</si>
  <si>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</si>
  <si>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</si>
  <si>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</si>
  <si>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</si>
  <si>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</si>
  <si>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</si>
  <si>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</si>
  <si>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</si>
  <si>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</si>
  <si>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</si>
  <si>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</si>
  <si>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</si>
  <si>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</si>
  <si>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</si>
  <si>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</si>
  <si>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</si>
  <si>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</si>
  <si>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</si>
  <si>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</si>
  <si>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</si>
  <si>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</si>
  <si>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</si>
  <si>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</si>
  <si>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</si>
  <si>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</si>
  <si>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</si>
  <si>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</si>
  <si>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</si>
  <si>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</si>
  <si>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</si>
  <si>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</si>
  <si>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</si>
  <si>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</si>
  <si>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</si>
  <si>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</si>
  <si>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</si>
  <si>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</si>
  <si>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</si>
  <si>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</si>
  <si>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</si>
  <si>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</si>
  <si>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</si>
  <si>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</si>
  <si>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</si>
  <si>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</si>
  <si>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</si>
  <si>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</si>
  <si>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</si>
  <si>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</si>
  <si>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</si>
  <si>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</si>
  <si>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</si>
  <si>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</si>
  <si>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</si>
  <si>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</si>
  <si>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</si>
  <si>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</si>
  <si>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</si>
  <si>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</si>
  <si>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</si>
  <si>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</si>
  <si>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</si>
  <si>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</si>
  <si>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</si>
  <si>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</si>
  <si>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</si>
  <si>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</si>
  <si>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</si>
  <si>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</si>
  <si>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</si>
  <si>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</si>
  <si>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</si>
  <si>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</si>
  <si>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</si>
  <si>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</si>
  <si>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</si>
  <si>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</si>
  <si>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</si>
  <si>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</si>
  <si>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</si>
  <si>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</si>
  <si>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</si>
  <si>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</si>
  <si>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</si>
  <si>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</si>
  <si>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</si>
  <si>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</si>
  <si>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</si>
  <si>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</si>
  <si>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</si>
  <si>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</si>
  <si>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</si>
  <si>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</si>
  <si>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</si>
  <si>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</si>
  <si>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</si>
  <si>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</si>
  <si>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</si>
  <si>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</si>
  <si>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</si>
  <si>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</si>
  <si>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</si>
  <si>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</si>
  <si>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</si>
  <si>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</si>
  <si>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</si>
  <si>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</si>
  <si>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</si>
  <si>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</si>
  <si>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</si>
  <si>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</si>
  <si>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</si>
  <si>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</si>
  <si>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</si>
  <si>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</si>
  <si>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</si>
  <si>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</si>
  <si>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</si>
  <si>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</si>
  <si>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</si>
  <si>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</si>
  <si>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</si>
  <si>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</si>
  <si>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</si>
  <si>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</si>
  <si>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</si>
  <si>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</si>
  <si>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</si>
  <si>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</si>
  <si>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</si>
  <si>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</si>
  <si>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</si>
  <si>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</si>
  <si>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</si>
  <si>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</si>
  <si>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</si>
  <si>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</si>
  <si>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</si>
  <si>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</si>
  <si>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</si>
  <si>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</si>
  <si>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</si>
  <si>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</si>
  <si>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</si>
  <si>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</si>
  <si>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</si>
  <si>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</si>
  <si>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</si>
  <si>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</si>
  <si>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</si>
  <si>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</si>
  <si>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</si>
  <si>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</si>
  <si>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</si>
  <si>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</si>
  <si>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</si>
  <si>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</si>
  <si>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</si>
  <si>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</si>
  <si>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</si>
  <si>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</si>
  <si>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</si>
  <si>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</si>
  <si>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</si>
  <si>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</si>
  <si>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</si>
  <si>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</si>
  <si>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</si>
  <si>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</si>
  <si>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</si>
  <si>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</si>
  <si>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</si>
  <si>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</si>
  <si>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</si>
  <si>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</si>
  <si>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</si>
  <si>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</si>
  <si>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</si>
  <si>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</si>
  <si>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</si>
  <si>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</si>
  <si>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</si>
  <si>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</si>
  <si>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</si>
  <si>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</si>
  <si>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</si>
  <si>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</si>
  <si>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</si>
  <si>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</si>
  <si>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</si>
  <si>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</si>
  <si>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</si>
  <si>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</si>
  <si>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</si>
  <si>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</si>
  <si>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</si>
  <si>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</si>
  <si>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</si>
  <si>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</si>
  <si>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</si>
  <si>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</si>
  <si>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</si>
  <si>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12/97</t>
  </si>
  <si>
    <t>07/06</t>
  </si>
  <si>
    <t>01/10</t>
  </si>
  <si>
    <t>01/13</t>
  </si>
  <si>
    <t>07/16</t>
  </si>
  <si>
    <t>12/14</t>
  </si>
  <si>
    <t>I changed the the original debt amount to reflect  the total principal amount not the total lease of $2,146,074.81.</t>
  </si>
  <si>
    <t>Berlin Public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</si>
</sst>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topLeftCell="A9" zoomScale="80" zoomScaleNormal="80" workbookViewId="0">
      <selection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916</v>
      </c>
      <c r="B2" s="21">
        <v>51</v>
      </c>
      <c r="C2" s="21">
        <v>51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6628.82</v>
      </c>
      <c r="G9" s="18">
        <v>52814.68</v>
      </c>
      <c r="H9" s="18">
        <v>19501.48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6628.82</v>
      </c>
      <c r="G19" s="41">
        <f>SUM(G9:G18)</f>
        <v>52814.68</v>
      </c>
      <c r="H19" s="41">
        <f>SUM(H9:H18)</f>
        <v>19501.48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6628.82</v>
      </c>
      <c r="G47" s="18">
        <v>52814.68</v>
      </c>
      <c r="H47" s="18">
        <v>19501.48</v>
      </c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/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6628.82</v>
      </c>
      <c r="G50" s="41">
        <f>SUM(G35:G49)</f>
        <v>52814.68</v>
      </c>
      <c r="H50" s="41">
        <f>SUM(H35:H49)</f>
        <v>19501.48</v>
      </c>
      <c r="I50" s="41">
        <f>SUM(I35:I49)</f>
        <v>0</v>
      </c>
      <c r="J50" s="41">
        <f>SUM(J35:J49)</f>
        <v>0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6628.82</v>
      </c>
      <c r="G51" s="41">
        <f>G50+G32</f>
        <v>52814.68</v>
      </c>
      <c r="H51" s="41">
        <f>H50+H32</f>
        <v>19501.48</v>
      </c>
      <c r="I51" s="41">
        <f>I50+I32</f>
        <v>0</v>
      </c>
      <c r="J51" s="41">
        <f>J50+J32</f>
        <v>0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2316076.92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2316076.92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1386586.81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26352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1412938.81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6219.94</v>
      </c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6219.94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188293.55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2006.7</v>
      </c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16800+18000+7000+10000+1000+500</f>
        <v>53300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15</v>
      </c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13696.42</v>
      </c>
      <c r="G104" s="18"/>
      <c r="H104" s="18">
        <v>1500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44168.47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59886.590000000004</v>
      </c>
      <c r="G110" s="41">
        <f>SUM(G95:G109)</f>
        <v>188293.55</v>
      </c>
      <c r="H110" s="41">
        <f>SUM(H95:H109)</f>
        <v>54800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3795122.26</v>
      </c>
      <c r="G111" s="41">
        <f>G59+G110</f>
        <v>188293.55</v>
      </c>
      <c r="H111" s="41">
        <f>H59+H78+H93+H110</f>
        <v>54800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10747538.970000001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713900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9312.0300000000007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11470751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374095.91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51949.85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55898.27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9023.61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>
        <v>1200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481944.02999999997</v>
      </c>
      <c r="G135" s="41">
        <f>SUM(G122:G134)</f>
        <v>9023.61</v>
      </c>
      <c r="H135" s="41">
        <f>SUM(H122:H134)</f>
        <v>1200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11952695.029999999</v>
      </c>
      <c r="G139" s="41">
        <f>G120+SUM(G135:G136)</f>
        <v>9023.61</v>
      </c>
      <c r="H139" s="41">
        <f>H120+SUM(H135:H138)</f>
        <v>1200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795728.77+17248.81</f>
        <v>812977.58000000007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179903.76+157221.56+18272.24+164052.64+2143.7</f>
        <v>521593.9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63181.56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365146.77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10725.49+344439.53+3916.25</f>
        <v>359081.27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297674.74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f>24586.52+249939.7</f>
        <v>274526.22000000003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297674.74</v>
      </c>
      <c r="G161" s="41">
        <f>SUM(G149:G160)</f>
        <v>365146.77</v>
      </c>
      <c r="H161" s="41">
        <f>SUM(H149:H160)</f>
        <v>2031360.53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34289.06</v>
      </c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27757.08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359720.88</v>
      </c>
      <c r="G168" s="41">
        <f>G146+G161+SUM(G162:G167)</f>
        <v>365146.77</v>
      </c>
      <c r="H168" s="41">
        <f>H146+H161+SUM(H162:H167)</f>
        <v>2031360.53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16107538.17</v>
      </c>
      <c r="G192" s="47">
        <f>G111+G139+G168+G191</f>
        <v>562463.92999999993</v>
      </c>
      <c r="H192" s="47">
        <f>H111+H139+H168+H191</f>
        <v>2087360.53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33855.35+1861971.45+8000+14000</f>
        <v>1917826.8</v>
      </c>
      <c r="G196" s="18">
        <f>37862.2+724230.12+10395.22</f>
        <v>772487.53999999992</v>
      </c>
      <c r="H196" s="18">
        <f>34165.2+541+2429+1344.47</f>
        <v>38479.67</v>
      </c>
      <c r="I196" s="18">
        <f>9839.46+53691.95</f>
        <v>63531.409999999996</v>
      </c>
      <c r="J196" s="18">
        <f>44470.24+6225.21+2039.75</f>
        <v>52735.199999999997</v>
      </c>
      <c r="K196" s="18"/>
      <c r="L196" s="19">
        <f>SUM(F196:K196)</f>
        <v>2845060.62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34137.12+13051.2+736351.05+2000+7810.07</f>
        <v>793349.44000000006</v>
      </c>
      <c r="G197" s="18">
        <f>998.53+5696.8+163501.02+597.46+4300.19</f>
        <v>175093.99999999997</v>
      </c>
      <c r="H197" s="18">
        <f>15920.39+250603.99+21004.27</f>
        <v>287528.65000000002</v>
      </c>
      <c r="I197" s="18">
        <f>305.44+2332.36+493.13</f>
        <v>3130.9300000000003</v>
      </c>
      <c r="J197" s="18">
        <f>2879.5</f>
        <v>2879.5</v>
      </c>
      <c r="K197" s="18"/>
      <c r="L197" s="19">
        <f>SUM(F197:K197)</f>
        <v>1261982.52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15986.99+25532</f>
        <v>41518.99</v>
      </c>
      <c r="G199" s="18">
        <f>1757.12+3360.62+225.05</f>
        <v>5342.79</v>
      </c>
      <c r="H199" s="18">
        <f>307+43298.97+4977.27</f>
        <v>48583.240000000005</v>
      </c>
      <c r="I199" s="18">
        <f>171.87</f>
        <v>171.87</v>
      </c>
      <c r="J199" s="18"/>
      <c r="K199" s="18">
        <f>150</f>
        <v>150</v>
      </c>
      <c r="L199" s="19">
        <f>SUM(F199:K199)</f>
        <v>95766.89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118629.02+10616+2000+112104+57804.25</f>
        <v>301153.27</v>
      </c>
      <c r="G201" s="18">
        <f>28532.77+812.14+51811.97+19023.74+1632.34+0.01</f>
        <v>101812.97</v>
      </c>
      <c r="H201" s="18">
        <f>142979.37+8290.45+288.8+623</f>
        <v>152181.62</v>
      </c>
      <c r="I201" s="18">
        <f>244.59+673.59+1054.82+759.86</f>
        <v>2732.86</v>
      </c>
      <c r="J201" s="18">
        <f>158.96</f>
        <v>158.96</v>
      </c>
      <c r="K201" s="18">
        <f>175</f>
        <v>175</v>
      </c>
      <c r="L201" s="19">
        <f t="shared" ref="L201:L207" si="0">SUM(F201:K201)</f>
        <v>558214.67999999993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79429.990000000005</v>
      </c>
      <c r="G202" s="18">
        <f>605.27+8085.1+32428.06+430.53</f>
        <v>41548.959999999999</v>
      </c>
      <c r="H202" s="18">
        <f>2295.4+2285+260</f>
        <v>4840.3999999999996</v>
      </c>
      <c r="I202" s="18">
        <v>6161.95</v>
      </c>
      <c r="J202" s="18"/>
      <c r="K202" s="18">
        <f>460</f>
        <v>460</v>
      </c>
      <c r="L202" s="19">
        <f t="shared" si="0"/>
        <v>132441.30000000002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66237.28+46871.34+3504.96</f>
        <v>116613.58</v>
      </c>
      <c r="G203" s="18">
        <f>28830.99+9297.39+632.08</f>
        <v>38760.460000000006</v>
      </c>
      <c r="H203" s="18">
        <f>4180.97+10678.43+2952.37+26659.76</f>
        <v>44471.53</v>
      </c>
      <c r="I203" s="18">
        <f>3312.22+2490.21</f>
        <v>5802.43</v>
      </c>
      <c r="J203" s="18">
        <f>298.99+633.04</f>
        <v>932.03</v>
      </c>
      <c r="K203" s="18">
        <f>7842.79+840.45+251.52</f>
        <v>8934.76</v>
      </c>
      <c r="L203" s="19">
        <f t="shared" si="0"/>
        <v>215514.79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195661.02</f>
        <v>195661.02</v>
      </c>
      <c r="G204" s="18">
        <f>56455.96+1060.54</f>
        <v>57516.5</v>
      </c>
      <c r="H204" s="18">
        <f>31779.3</f>
        <v>31779.3</v>
      </c>
      <c r="I204" s="18">
        <f>1114.77</f>
        <v>1114.77</v>
      </c>
      <c r="J204" s="18"/>
      <c r="K204" s="18">
        <f>1440</f>
        <v>1440</v>
      </c>
      <c r="L204" s="19">
        <f t="shared" si="0"/>
        <v>287511.59000000003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f>63041.68</f>
        <v>63041.68</v>
      </c>
      <c r="G205" s="18">
        <f>26171.04+341.7</f>
        <v>26512.74</v>
      </c>
      <c r="H205" s="18">
        <f>532.13+11316</f>
        <v>11848.13</v>
      </c>
      <c r="I205" s="18"/>
      <c r="J205" s="18"/>
      <c r="K205" s="18">
        <f>423.62</f>
        <v>423.62</v>
      </c>
      <c r="L205" s="19">
        <f t="shared" si="0"/>
        <v>101826.17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46604.93+78838.37</f>
        <v>125443.29999999999</v>
      </c>
      <c r="G206" s="18">
        <f>18533.97+50892.35+679.94</f>
        <v>70106.260000000009</v>
      </c>
      <c r="H206" s="18">
        <f>100616.16+18903.42+727.26</f>
        <v>120246.84</v>
      </c>
      <c r="I206" s="18">
        <f>33235.52+56700.26+15637.49</f>
        <v>105573.27</v>
      </c>
      <c r="J206" s="18">
        <f>7372.02</f>
        <v>7372.02</v>
      </c>
      <c r="K206" s="18"/>
      <c r="L206" s="19">
        <f t="shared" si="0"/>
        <v>428741.69000000006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75902.94+1554.35+2236.15+6369.03+249.11+2307.72</f>
        <v>88619.3</v>
      </c>
      <c r="G207" s="18">
        <f>17782.02+118.9+171.03+486.44+19.04+176.33+480.34</f>
        <v>19234.100000000002</v>
      </c>
      <c r="H207" s="18">
        <f>19109.71+3603.54</f>
        <v>22713.25</v>
      </c>
      <c r="I207" s="18">
        <v>43498.99</v>
      </c>
      <c r="J207" s="18"/>
      <c r="K207" s="18">
        <f>185.25</f>
        <v>185.25</v>
      </c>
      <c r="L207" s="19">
        <f t="shared" si="0"/>
        <v>174250.89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353.28</v>
      </c>
      <c r="G208" s="18">
        <f>27.03+1.91</f>
        <v>28.94</v>
      </c>
      <c r="H208" s="18"/>
      <c r="I208" s="18"/>
      <c r="J208" s="18"/>
      <c r="K208" s="18"/>
      <c r="L208" s="19">
        <f>SUM(F208:K208)</f>
        <v>382.21999999999997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3723010.6500000004</v>
      </c>
      <c r="G210" s="41">
        <f t="shared" si="1"/>
        <v>1308445.26</v>
      </c>
      <c r="H210" s="41">
        <f t="shared" si="1"/>
        <v>762672.63</v>
      </c>
      <c r="I210" s="41">
        <f t="shared" si="1"/>
        <v>231718.47999999998</v>
      </c>
      <c r="J210" s="41">
        <f t="shared" si="1"/>
        <v>64077.709999999992</v>
      </c>
      <c r="K210" s="41">
        <f t="shared" si="1"/>
        <v>11768.630000000001</v>
      </c>
      <c r="L210" s="41">
        <f t="shared" si="1"/>
        <v>6101693.3599999994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6000+898976.57+13983.73</f>
        <v>918960.29999999993</v>
      </c>
      <c r="G214" s="18">
        <f>384433.98+15638.73+4981.04</f>
        <v>405053.74999999994</v>
      </c>
      <c r="H214" s="18">
        <f>866+14111.72</f>
        <v>14977.72</v>
      </c>
      <c r="I214" s="18">
        <f>38243.72+4064.12+79.23</f>
        <v>42387.070000000007</v>
      </c>
      <c r="J214" s="18">
        <f>11192.3+18368.14+2061.85</f>
        <v>31622.289999999997</v>
      </c>
      <c r="K214" s="18">
        <f>715</f>
        <v>715</v>
      </c>
      <c r="L214" s="19">
        <f>SUM(F214:K214)</f>
        <v>1413716.13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4000+325441.09+1961.9+4078.5</f>
        <v>335481.49000000005</v>
      </c>
      <c r="G215" s="18">
        <f>54720.7+312.04+327.4+1818.41</f>
        <v>57178.55</v>
      </c>
      <c r="H215" s="18">
        <f>79787.43+4975.12</f>
        <v>84762.549999999988</v>
      </c>
      <c r="I215" s="18">
        <f>1500+17.55</f>
        <v>1517.55</v>
      </c>
      <c r="J215" s="18"/>
      <c r="K215" s="18"/>
      <c r="L215" s="19">
        <f>SUM(F215:K215)</f>
        <v>478940.14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11419.83+23356</f>
        <v>34775.83</v>
      </c>
      <c r="G217" s="18">
        <f>1789.67+3123.97+188.5</f>
        <v>5102.1399999999994</v>
      </c>
      <c r="H217" s="18">
        <f>332+6701.03+2055.83</f>
        <v>9088.86</v>
      </c>
      <c r="I217" s="18">
        <f>3139.32</f>
        <v>3139.32</v>
      </c>
      <c r="J217" s="18"/>
      <c r="K217" s="18">
        <f>390+300</f>
        <v>690</v>
      </c>
      <c r="L217" s="19">
        <f>SUM(F217:K217)</f>
        <v>52796.15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2000+61018.28+24773.25+14526</f>
        <v>102317.53</v>
      </c>
      <c r="G219" s="18">
        <f>25717.41+12026.3+3493.81+554.59</f>
        <v>41792.109999999993</v>
      </c>
      <c r="H219" s="18">
        <f>3051+330+14855+409.41</f>
        <v>18645.41</v>
      </c>
      <c r="I219" s="18">
        <f>863.86+79.98+29.95</f>
        <v>973.79000000000008</v>
      </c>
      <c r="J219" s="18">
        <f>264.48</f>
        <v>264.48</v>
      </c>
      <c r="K219" s="18">
        <f>125</f>
        <v>125</v>
      </c>
      <c r="L219" s="19">
        <f t="shared" ref="L219:L225" si="2">SUM(F219:K219)</f>
        <v>164118.32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28480.5</f>
        <v>28480.5</v>
      </c>
      <c r="G220" s="18">
        <f>2700+16419.48+250+154.37</f>
        <v>19523.849999999999</v>
      </c>
      <c r="H220" s="18">
        <f>1626+1427.15+948.1</f>
        <v>4001.25</v>
      </c>
      <c r="I220" s="18">
        <f>4705.1</f>
        <v>4705.1000000000004</v>
      </c>
      <c r="J220" s="18"/>
      <c r="K220" s="18"/>
      <c r="L220" s="19">
        <f t="shared" si="2"/>
        <v>56710.7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1095.3+27358.88+14647.3</f>
        <v>43101.479999999996</v>
      </c>
      <c r="G221" s="18">
        <f>11908.45+2905.44+233.62</f>
        <v>15047.510000000002</v>
      </c>
      <c r="H221" s="18">
        <f>1726.93+4410.66+922.62+11011.64</f>
        <v>18071.849999999999</v>
      </c>
      <c r="I221" s="18">
        <f>1368.09+143.12</f>
        <v>1511.21</v>
      </c>
      <c r="J221" s="18">
        <f>123.5+197.82</f>
        <v>321.32</v>
      </c>
      <c r="K221" s="18">
        <f>3239.42+347.15+78.6</f>
        <v>3665.17</v>
      </c>
      <c r="L221" s="19">
        <f t="shared" si="2"/>
        <v>81718.540000000008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120916.17</f>
        <v>120916.17</v>
      </c>
      <c r="G222" s="18">
        <f>65426.8+655.4</f>
        <v>66082.2</v>
      </c>
      <c r="H222" s="18">
        <f>16161.67</f>
        <v>16161.67</v>
      </c>
      <c r="I222" s="18"/>
      <c r="J222" s="18">
        <f>652.8</f>
        <v>652.79999999999995</v>
      </c>
      <c r="K222" s="18">
        <f>995</f>
        <v>995</v>
      </c>
      <c r="L222" s="19">
        <f t="shared" si="2"/>
        <v>204807.84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26038.959999999999</v>
      </c>
      <c r="G223" s="18">
        <f>10809.77+141.14</f>
        <v>10950.91</v>
      </c>
      <c r="H223" s="18">
        <f>219.8+4674</f>
        <v>4893.8</v>
      </c>
      <c r="I223" s="18"/>
      <c r="J223" s="18"/>
      <c r="K223" s="18">
        <v>174.98</v>
      </c>
      <c r="L223" s="19">
        <f t="shared" si="2"/>
        <v>42058.65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79628.54+19249.86</f>
        <v>98878.399999999994</v>
      </c>
      <c r="G224" s="18">
        <f>45998.96+7655.34+535.95</f>
        <v>54190.25</v>
      </c>
      <c r="H224" s="18">
        <f>10934.65+41558.85+300.39</f>
        <v>52793.89</v>
      </c>
      <c r="I224" s="18">
        <f>238454.78+13727.71+6458.96</f>
        <v>258641.44999999998</v>
      </c>
      <c r="J224" s="18">
        <f>3044.97</f>
        <v>3044.97</v>
      </c>
      <c r="K224" s="18"/>
      <c r="L224" s="19">
        <f t="shared" si="2"/>
        <v>467548.95999999996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f>74.67+3521.09+1965.14+41280.55+89.33+785.68</f>
        <v>47716.460000000006</v>
      </c>
      <c r="G225" s="18">
        <f>5.69+269.12+150.21+9670.92+6.83+60.09+258.64</f>
        <v>10421.5</v>
      </c>
      <c r="H225" s="18">
        <f>10392.99+1959.82</f>
        <v>12352.81</v>
      </c>
      <c r="I225" s="18">
        <f>23657.34</f>
        <v>23657.34</v>
      </c>
      <c r="J225" s="18"/>
      <c r="K225" s="18">
        <f>100.75</f>
        <v>100.75</v>
      </c>
      <c r="L225" s="19">
        <f t="shared" si="2"/>
        <v>94248.86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145.91999999999999</v>
      </c>
      <c r="G226" s="18">
        <f>11.16+0.79</f>
        <v>11.95</v>
      </c>
      <c r="H226" s="18"/>
      <c r="I226" s="18"/>
      <c r="J226" s="18"/>
      <c r="K226" s="18"/>
      <c r="L226" s="19">
        <f>SUM(F226:K226)</f>
        <v>157.86999999999998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1756813.0399999998</v>
      </c>
      <c r="G228" s="41">
        <f>SUM(G214:G227)</f>
        <v>685354.71999999986</v>
      </c>
      <c r="H228" s="41">
        <f>SUM(H214:H227)</f>
        <v>235749.81</v>
      </c>
      <c r="I228" s="41">
        <f>SUM(I214:I227)</f>
        <v>336532.83</v>
      </c>
      <c r="J228" s="41">
        <f>SUM(J214:J227)</f>
        <v>35905.86</v>
      </c>
      <c r="K228" s="41">
        <f t="shared" si="3"/>
        <v>6465.9</v>
      </c>
      <c r="L228" s="41">
        <f t="shared" si="3"/>
        <v>3056822.1599999997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12000+1754752.02+25759.5</f>
        <v>1792511.52</v>
      </c>
      <c r="G232" s="18">
        <f>763653.81+28808.2+9715.95</f>
        <v>802177.96</v>
      </c>
      <c r="H232" s="18">
        <f>38635.8+25995.27+12876</f>
        <v>77507.070000000007</v>
      </c>
      <c r="I232" s="18">
        <f>71292.55+7486.55+395.04</f>
        <v>79174.14</v>
      </c>
      <c r="J232" s="18">
        <f>25525.58+33836.05+3687.99</f>
        <v>63049.62</v>
      </c>
      <c r="K232" s="18">
        <f>628</f>
        <v>628</v>
      </c>
      <c r="L232" s="19">
        <f>SUM(F232:K232)</f>
        <v>2815048.31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469823.95+3139.05+10060.3</f>
        <v>483023.3</v>
      </c>
      <c r="G233" s="18">
        <f>124690.67+769.7+523.84+2618.13</f>
        <v>128602.34</v>
      </c>
      <c r="H233" s="18">
        <f>622134.5+84433.75+12271.97</f>
        <v>718840.22</v>
      </c>
      <c r="I233" s="18">
        <f>1926.07+28.09</f>
        <v>1954.1599999999999</v>
      </c>
      <c r="J233" s="18"/>
      <c r="K233" s="18"/>
      <c r="L233" s="19">
        <f>SUM(F233:K233)</f>
        <v>1332420.0199999998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f>397120.02+2000</f>
        <v>399120.02</v>
      </c>
      <c r="G234" s="18">
        <f>201954.48+2163.35</f>
        <v>204117.83000000002</v>
      </c>
      <c r="H234" s="18">
        <f>5803.86</f>
        <v>5803.86</v>
      </c>
      <c r="I234" s="18">
        <f>47058.89</f>
        <v>47058.89</v>
      </c>
      <c r="J234" s="18">
        <f>3057.61</f>
        <v>3057.61</v>
      </c>
      <c r="K234" s="18"/>
      <c r="L234" s="19">
        <f>SUM(F234:K234)</f>
        <v>659158.21000000008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20719.46+78668.49</f>
        <v>99387.950000000012</v>
      </c>
      <c r="G235" s="18">
        <f>3604.75+11098.26+538.71</f>
        <v>15241.720000000001</v>
      </c>
      <c r="H235" s="18">
        <f>37000+3787.05</f>
        <v>40787.050000000003</v>
      </c>
      <c r="I235" s="18">
        <f>1564.67+20563.59</f>
        <v>22128.260000000002</v>
      </c>
      <c r="J235" s="18">
        <f>2076</f>
        <v>2076</v>
      </c>
      <c r="K235" s="18">
        <f>6558</f>
        <v>6558</v>
      </c>
      <c r="L235" s="19">
        <f>SUM(F235:K235)</f>
        <v>186178.98000000004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145193.84+26746+108945.01+15924</f>
        <v>296808.84999999998</v>
      </c>
      <c r="G237" s="18">
        <f>67776.57+13766.84+26203.56+1218.2+1608.79</f>
        <v>110573.95999999999</v>
      </c>
      <c r="H237" s="18">
        <f>10054.89+366.3+27853.13+1535.27+433.21</f>
        <v>40242.799999999996</v>
      </c>
      <c r="I237" s="18">
        <f>3405.54+1650.01+106.26+159.97+224.62</f>
        <v>5546.4000000000005</v>
      </c>
      <c r="J237" s="18">
        <f>1052+679.92</f>
        <v>1731.92</v>
      </c>
      <c r="K237" s="18">
        <f>520</f>
        <v>520</v>
      </c>
      <c r="L237" s="19">
        <f t="shared" ref="L237:L243" si="4">SUM(F237:K237)</f>
        <v>455423.92999999993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54468.55</f>
        <v>54468.55</v>
      </c>
      <c r="G238" s="18">
        <f>28191+16273.1+460.53+295.24</f>
        <v>45219.869999999995</v>
      </c>
      <c r="H238" s="18">
        <f>5937.11+100+1746.5</f>
        <v>7783.61</v>
      </c>
      <c r="I238" s="18">
        <f>5769.9+6439.51</f>
        <v>12209.41</v>
      </c>
      <c r="J238" s="18">
        <f>1163.08</f>
        <v>1163.08</v>
      </c>
      <c r="K238" s="18"/>
      <c r="L238" s="19">
        <f t="shared" si="4"/>
        <v>120844.52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2701.74+90212.83+50397.93+36130</f>
        <v>179442.5</v>
      </c>
      <c r="G239" s="18">
        <f>31270.02+21936.62+7166.74+972.63</f>
        <v>61346.009999999995</v>
      </c>
      <c r="H239" s="18">
        <f>3225.42+3181.18+8124.9+2275.78+20284.6</f>
        <v>37091.879999999997</v>
      </c>
      <c r="I239" s="18">
        <f>2520.17+228.98</f>
        <v>2749.15</v>
      </c>
      <c r="J239" s="18">
        <f>227.49+487.97</f>
        <v>715.46</v>
      </c>
      <c r="K239" s="18">
        <f>100+5967.35+1000+639.48+193.88</f>
        <v>7900.71</v>
      </c>
      <c r="L239" s="19">
        <f t="shared" si="4"/>
        <v>289245.71000000008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7302+236167.04</f>
        <v>243469.04</v>
      </c>
      <c r="G240" s="18">
        <f>62025.57+1319.68+259.99</f>
        <v>63605.24</v>
      </c>
      <c r="H240" s="18">
        <f>23192.65</f>
        <v>23192.65</v>
      </c>
      <c r="I240" s="18">
        <f>4311.91</f>
        <v>4311.91</v>
      </c>
      <c r="J240" s="18">
        <f>8696.95</f>
        <v>8696.9500000000007</v>
      </c>
      <c r="K240" s="18">
        <f>4394</f>
        <v>4394</v>
      </c>
      <c r="L240" s="19">
        <f t="shared" si="4"/>
        <v>347669.79000000004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f>47966.5</f>
        <v>47966.5</v>
      </c>
      <c r="G241" s="18">
        <f>19912.74</f>
        <v>19912.740000000002</v>
      </c>
      <c r="H241" s="18">
        <f>404.89+8610</f>
        <v>9014.89</v>
      </c>
      <c r="I241" s="18"/>
      <c r="J241" s="18"/>
      <c r="K241" s="18">
        <f>322.33</f>
        <v>322.33</v>
      </c>
      <c r="L241" s="19">
        <f t="shared" si="4"/>
        <v>77216.460000000006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117935.21+35460.27</f>
        <v>153395.48000000001</v>
      </c>
      <c r="G242" s="18">
        <f>73996.12+14101.94+831.45</f>
        <v>88929.51</v>
      </c>
      <c r="H242" s="18">
        <f>20959.01+76555.77+553.35</f>
        <v>98068.13</v>
      </c>
      <c r="I242" s="18">
        <f>213317.06+25287.9+11898.09</f>
        <v>250503.05</v>
      </c>
      <c r="J242" s="18">
        <f>5609.15</f>
        <v>5609.15</v>
      </c>
      <c r="K242" s="18"/>
      <c r="L242" s="19">
        <f t="shared" si="4"/>
        <v>596505.31999999995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1268.38+16501.03+3621.45+15979.57+142.93</f>
        <v>37513.360000000001</v>
      </c>
      <c r="G243" s="18">
        <f>96.89+1261.46+276.77+3743.58+10.93+203.33</f>
        <v>5592.96</v>
      </c>
      <c r="H243" s="18">
        <f>11971.59+4023.09+758.64</f>
        <v>16753.32</v>
      </c>
      <c r="I243" s="18">
        <f>9157.68</f>
        <v>9157.68</v>
      </c>
      <c r="J243" s="18"/>
      <c r="K243" s="18">
        <f>39</f>
        <v>39</v>
      </c>
      <c r="L243" s="19">
        <f t="shared" si="4"/>
        <v>69056.320000000007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f>268.8</f>
        <v>268.8</v>
      </c>
      <c r="G244" s="18">
        <f>20.57+1.46</f>
        <v>22.03</v>
      </c>
      <c r="H244" s="18"/>
      <c r="I244" s="18"/>
      <c r="J244" s="18"/>
      <c r="K244" s="18"/>
      <c r="L244" s="19">
        <f>SUM(F244:K244)</f>
        <v>290.83000000000004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3787375.8699999996</v>
      </c>
      <c r="G246" s="41">
        <f t="shared" si="5"/>
        <v>1545342.1699999997</v>
      </c>
      <c r="H246" s="41">
        <f t="shared" si="5"/>
        <v>1075085.4800000002</v>
      </c>
      <c r="I246" s="41">
        <f t="shared" si="5"/>
        <v>434793.05</v>
      </c>
      <c r="J246" s="41">
        <f t="shared" si="5"/>
        <v>86099.79</v>
      </c>
      <c r="K246" s="41">
        <f t="shared" si="5"/>
        <v>20362.04</v>
      </c>
      <c r="L246" s="41">
        <f t="shared" si="5"/>
        <v>6949058.4000000004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9267199.5600000005</v>
      </c>
      <c r="G256" s="41">
        <f t="shared" si="8"/>
        <v>3539142.1499999994</v>
      </c>
      <c r="H256" s="41">
        <f t="shared" si="8"/>
        <v>2073507.9200000002</v>
      </c>
      <c r="I256" s="41">
        <f t="shared" si="8"/>
        <v>1003044.3600000001</v>
      </c>
      <c r="J256" s="41">
        <f t="shared" si="8"/>
        <v>186083.36</v>
      </c>
      <c r="K256" s="41">
        <f t="shared" si="8"/>
        <v>38596.57</v>
      </c>
      <c r="L256" s="41">
        <f t="shared" si="8"/>
        <v>16107573.92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9267199.5600000005</v>
      </c>
      <c r="G270" s="42">
        <f t="shared" si="11"/>
        <v>3539142.1499999994</v>
      </c>
      <c r="H270" s="42">
        <f t="shared" si="11"/>
        <v>2073507.9200000002</v>
      </c>
      <c r="I270" s="42">
        <f t="shared" si="11"/>
        <v>1003044.3600000001</v>
      </c>
      <c r="J270" s="42">
        <f t="shared" si="11"/>
        <v>186083.36</v>
      </c>
      <c r="K270" s="42">
        <f t="shared" si="11"/>
        <v>38596.57</v>
      </c>
      <c r="L270" s="42">
        <f t="shared" si="11"/>
        <v>16107573.92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97112.82+188499.03</f>
        <v>285611.84999999998</v>
      </c>
      <c r="G275" s="18">
        <f>29169.25+26831.57</f>
        <v>56000.82</v>
      </c>
      <c r="H275" s="18">
        <f>(976.8+36490.48)-(2429+1344.47)</f>
        <v>33693.810000000005</v>
      </c>
      <c r="I275" s="18">
        <f>4053.06+8630.71</f>
        <v>12683.769999999999</v>
      </c>
      <c r="J275" s="18">
        <f>72535.21-(2039.75)</f>
        <v>70495.460000000006</v>
      </c>
      <c r="K275" s="18"/>
      <c r="L275" s="19">
        <f>SUM(F275:K275)</f>
        <v>458485.71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499676.2</f>
        <v>499676.2</v>
      </c>
      <c r="G276" s="18">
        <f>123040.86</f>
        <v>123040.86</v>
      </c>
      <c r="H276" s="18">
        <f>5162.63+4861.18</f>
        <v>10023.810000000001</v>
      </c>
      <c r="I276" s="18">
        <f>56.45+3832.54+14935.76</f>
        <v>18824.75</v>
      </c>
      <c r="J276" s="18">
        <f>(6783.16+2879.5+14804.78)-(2879.5)</f>
        <v>21587.940000000002</v>
      </c>
      <c r="K276" s="18">
        <v>21395.7</v>
      </c>
      <c r="L276" s="19">
        <f>SUM(F276:K276)</f>
        <v>694549.26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f>109664.77</f>
        <v>109664.77</v>
      </c>
      <c r="G278" s="18">
        <f>18677.08</f>
        <v>18677.080000000002</v>
      </c>
      <c r="H278" s="18">
        <f>6566.89</f>
        <v>6566.89</v>
      </c>
      <c r="I278" s="18">
        <f>3678.28</f>
        <v>3678.28</v>
      </c>
      <c r="J278" s="18"/>
      <c r="K278" s="18"/>
      <c r="L278" s="19">
        <f>SUM(F278:K278)</f>
        <v>138587.02000000002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96150.4+52062.5+7362</f>
        <v>155574.9</v>
      </c>
      <c r="G280" s="18">
        <f>47706.37+13667.8+3363.49</f>
        <v>64737.659999999996</v>
      </c>
      <c r="H280" s="18"/>
      <c r="I280" s="18"/>
      <c r="J280" s="18"/>
      <c r="K280" s="18"/>
      <c r="L280" s="19">
        <f t="shared" ref="L280:L286" si="12">SUM(F280:K280)</f>
        <v>220312.56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f>2380.81+6000+133783.1</f>
        <v>142163.91</v>
      </c>
      <c r="I281" s="18"/>
      <c r="J281" s="18"/>
      <c r="K281" s="18"/>
      <c r="L281" s="19">
        <f t="shared" si="12"/>
        <v>142163.91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>
        <f>480</f>
        <v>480</v>
      </c>
      <c r="I282" s="18"/>
      <c r="J282" s="18"/>
      <c r="K282" s="18"/>
      <c r="L282" s="19">
        <f t="shared" si="12"/>
        <v>480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f>4762.68</f>
        <v>4762.68</v>
      </c>
      <c r="I286" s="18"/>
      <c r="J286" s="18"/>
      <c r="K286" s="18"/>
      <c r="L286" s="19">
        <f t="shared" si="12"/>
        <v>4762.68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1050527.72</v>
      </c>
      <c r="G289" s="42">
        <f t="shared" si="13"/>
        <v>262456.42</v>
      </c>
      <c r="H289" s="42">
        <f t="shared" si="13"/>
        <v>197691.1</v>
      </c>
      <c r="I289" s="42">
        <f t="shared" si="13"/>
        <v>35186.799999999996</v>
      </c>
      <c r="J289" s="42">
        <f t="shared" si="13"/>
        <v>92083.400000000009</v>
      </c>
      <c r="K289" s="42">
        <f t="shared" si="13"/>
        <v>21395.7</v>
      </c>
      <c r="L289" s="41">
        <f t="shared" si="13"/>
        <v>1659341.14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40111.81+3528.55</f>
        <v>43640.36</v>
      </c>
      <c r="G294" s="18">
        <f>12048.17+572.66</f>
        <v>12620.83</v>
      </c>
      <c r="H294" s="18">
        <f>343.2</f>
        <v>343.2</v>
      </c>
      <c r="I294" s="18">
        <f>(1424.05+79.23)-(79.23)</f>
        <v>1424.05</v>
      </c>
      <c r="J294" s="18">
        <f>(9181.45)-(2061.85)</f>
        <v>7119.6</v>
      </c>
      <c r="K294" s="18"/>
      <c r="L294" s="19">
        <f>SUM(F294:K294)</f>
        <v>65148.04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>
        <f>1613.33</f>
        <v>1613.33</v>
      </c>
      <c r="I295" s="18">
        <f>17.64</f>
        <v>17.64</v>
      </c>
      <c r="J295" s="18">
        <f>2119.74</f>
        <v>2119.7399999999998</v>
      </c>
      <c r="K295" s="18"/>
      <c r="L295" s="19">
        <f>SUM(F295:K295)</f>
        <v>3750.71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f>38530.86</f>
        <v>38530.86</v>
      </c>
      <c r="G297" s="18">
        <f>6562.22</f>
        <v>6562.22</v>
      </c>
      <c r="H297" s="18">
        <f>2307.28</f>
        <v>2307.2800000000002</v>
      </c>
      <c r="I297" s="18">
        <f>1292.37</f>
        <v>1292.3699999999999</v>
      </c>
      <c r="J297" s="18"/>
      <c r="K297" s="18"/>
      <c r="L297" s="19">
        <f>SUM(F297:K297)</f>
        <v>48692.73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f>10121.09+6375</f>
        <v>16496.09</v>
      </c>
      <c r="G299" s="18">
        <f>5021.72+1673.61</f>
        <v>6695.33</v>
      </c>
      <c r="H299" s="18"/>
      <c r="I299" s="18"/>
      <c r="J299" s="18"/>
      <c r="K299" s="18"/>
      <c r="L299" s="19">
        <f t="shared" ref="L299:L305" si="14">SUM(F299:K299)</f>
        <v>23191.42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>
        <f>983.38+7200</f>
        <v>8183.38</v>
      </c>
      <c r="I300" s="18"/>
      <c r="J300" s="18"/>
      <c r="K300" s="18"/>
      <c r="L300" s="19">
        <f t="shared" si="14"/>
        <v>8183.38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f>1673.38</f>
        <v>1673.38</v>
      </c>
      <c r="I305" s="18"/>
      <c r="J305" s="18"/>
      <c r="K305" s="18"/>
      <c r="L305" s="19">
        <f t="shared" si="14"/>
        <v>1673.38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98667.31</v>
      </c>
      <c r="G308" s="42">
        <f t="shared" si="15"/>
        <v>25878.379999999997</v>
      </c>
      <c r="H308" s="42">
        <f t="shared" si="15"/>
        <v>14120.57</v>
      </c>
      <c r="I308" s="42">
        <f t="shared" si="15"/>
        <v>2734.06</v>
      </c>
      <c r="J308" s="42">
        <f t="shared" si="15"/>
        <v>9239.34</v>
      </c>
      <c r="K308" s="42">
        <f t="shared" si="15"/>
        <v>0</v>
      </c>
      <c r="L308" s="41">
        <f t="shared" si="15"/>
        <v>150639.66000000003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73890.18+2294.57</f>
        <v>76184.75</v>
      </c>
      <c r="G313" s="18">
        <f>22193.99+434.86</f>
        <v>22628.850000000002</v>
      </c>
      <c r="H313" s="18"/>
      <c r="I313" s="18"/>
      <c r="J313" s="18">
        <f>(3886.74)-(3687.99)</f>
        <v>198.75</v>
      </c>
      <c r="K313" s="18"/>
      <c r="L313" s="19">
        <f>SUM(F313:K313)</f>
        <v>99012.35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>
        <f>3979.54</f>
        <v>3979.54</v>
      </c>
      <c r="I314" s="18">
        <f>43.51</f>
        <v>43.51</v>
      </c>
      <c r="J314" s="18">
        <f>5228.69</f>
        <v>5228.6899999999996</v>
      </c>
      <c r="K314" s="18"/>
      <c r="L314" s="19">
        <f>SUM(F314:K314)</f>
        <v>9251.74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>
        <f>4347.58</f>
        <v>4347.58</v>
      </c>
      <c r="I315" s="18">
        <f>13049.72</f>
        <v>13049.72</v>
      </c>
      <c r="J315" s="18">
        <f>45509.26</f>
        <v>45509.26</v>
      </c>
      <c r="K315" s="18">
        <f>3275</f>
        <v>3275</v>
      </c>
      <c r="L315" s="19">
        <f>SUM(F315:K315)</f>
        <v>66181.56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>
        <f>1200</f>
        <v>1200</v>
      </c>
      <c r="L316" s="19">
        <f>SUM(F316:K316)</f>
        <v>1200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f>20242.19+47812.5</f>
        <v>68054.69</v>
      </c>
      <c r="G318" s="18">
        <f>10043.44+12552.07</f>
        <v>22595.510000000002</v>
      </c>
      <c r="H318" s="18">
        <f>8072</f>
        <v>8072</v>
      </c>
      <c r="I318" s="18">
        <v>842.66</v>
      </c>
      <c r="J318" s="18"/>
      <c r="K318" s="18"/>
      <c r="L318" s="19">
        <f t="shared" ref="L318:L324" si="16">SUM(F318:K318)</f>
        <v>99564.860000000015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f>1811.48+7200</f>
        <v>9011.48</v>
      </c>
      <c r="I319" s="18"/>
      <c r="J319" s="18"/>
      <c r="K319" s="18"/>
      <c r="L319" s="19">
        <f t="shared" si="16"/>
        <v>9011.48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144239.44</v>
      </c>
      <c r="G327" s="42">
        <f t="shared" si="17"/>
        <v>45224.36</v>
      </c>
      <c r="H327" s="42">
        <f t="shared" si="17"/>
        <v>25410.6</v>
      </c>
      <c r="I327" s="42">
        <f t="shared" si="17"/>
        <v>13935.89</v>
      </c>
      <c r="J327" s="42">
        <f t="shared" si="17"/>
        <v>50936.700000000004</v>
      </c>
      <c r="K327" s="42">
        <f t="shared" si="17"/>
        <v>4475</v>
      </c>
      <c r="L327" s="41">
        <f t="shared" si="17"/>
        <v>284221.99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1293434.47</v>
      </c>
      <c r="G337" s="41">
        <f t="shared" si="20"/>
        <v>333559.15999999997</v>
      </c>
      <c r="H337" s="41">
        <f t="shared" si="20"/>
        <v>237222.27000000002</v>
      </c>
      <c r="I337" s="41">
        <f t="shared" si="20"/>
        <v>51856.749999999993</v>
      </c>
      <c r="J337" s="41">
        <f t="shared" si="20"/>
        <v>152259.44</v>
      </c>
      <c r="K337" s="41">
        <f t="shared" si="20"/>
        <v>25870.7</v>
      </c>
      <c r="L337" s="41">
        <f t="shared" si="20"/>
        <v>2094202.7899999998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10000</v>
      </c>
      <c r="L349" s="19">
        <f t="shared" si="21"/>
        <v>10000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10000</v>
      </c>
      <c r="L350" s="41">
        <f>SUM(L340:L349)</f>
        <v>10000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1293434.47</v>
      </c>
      <c r="G351" s="41">
        <f>G337</f>
        <v>333559.15999999997</v>
      </c>
      <c r="H351" s="41">
        <f>H337</f>
        <v>237222.27000000002</v>
      </c>
      <c r="I351" s="41">
        <f>I337</f>
        <v>51856.749999999993</v>
      </c>
      <c r="J351" s="41">
        <f>J337</f>
        <v>152259.44</v>
      </c>
      <c r="K351" s="47">
        <f>K337+K350</f>
        <v>35870.699999999997</v>
      </c>
      <c r="L351" s="41">
        <f>L337+L350</f>
        <v>2104202.79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93334.84+6963.31</f>
        <v>100298.15</v>
      </c>
      <c r="G357" s="18">
        <f>10185.83+529.94</f>
        <v>10715.77</v>
      </c>
      <c r="H357" s="18">
        <f>1992.65</f>
        <v>1992.65</v>
      </c>
      <c r="I357" s="18">
        <f>158952.27</f>
        <v>158952.26999999999</v>
      </c>
      <c r="J357" s="18">
        <f>708.65</f>
        <v>708.65</v>
      </c>
      <c r="K357" s="18">
        <f>404.5</f>
        <v>404.5</v>
      </c>
      <c r="L357" s="13">
        <f>SUM(F357:K357)</f>
        <v>273071.99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38291.22</f>
        <v>38291.22</v>
      </c>
      <c r="G358" s="18">
        <f>4178.8</f>
        <v>4178.8</v>
      </c>
      <c r="H358" s="18">
        <v>717.35</v>
      </c>
      <c r="I358" s="18">
        <f>57222.82</f>
        <v>57222.82</v>
      </c>
      <c r="J358" s="18">
        <f>255.11</f>
        <v>255.11</v>
      </c>
      <c r="K358" s="18">
        <v>145.62</v>
      </c>
      <c r="L358" s="19">
        <f>SUM(F358:K358)</f>
        <v>100810.92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107694.04</v>
      </c>
      <c r="G359" s="18">
        <f>11752.88</f>
        <v>11752.88</v>
      </c>
      <c r="H359" s="18">
        <v>1275.3</v>
      </c>
      <c r="I359" s="18">
        <f>101729.46</f>
        <v>101729.46</v>
      </c>
      <c r="J359" s="18">
        <f>453.53</f>
        <v>453.53</v>
      </c>
      <c r="K359" s="18">
        <v>258.88</v>
      </c>
      <c r="L359" s="19">
        <f>SUM(F359:K359)</f>
        <v>223164.09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246283.40999999997</v>
      </c>
      <c r="G361" s="47">
        <f t="shared" si="22"/>
        <v>26647.449999999997</v>
      </c>
      <c r="H361" s="47">
        <f t="shared" si="22"/>
        <v>3985.3</v>
      </c>
      <c r="I361" s="47">
        <f t="shared" si="22"/>
        <v>317904.55</v>
      </c>
      <c r="J361" s="47">
        <f t="shared" si="22"/>
        <v>1417.29</v>
      </c>
      <c r="K361" s="47">
        <f t="shared" si="22"/>
        <v>809</v>
      </c>
      <c r="L361" s="47">
        <f t="shared" si="22"/>
        <v>597047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143143.6</v>
      </c>
      <c r="G366" s="18">
        <v>51531.69</v>
      </c>
      <c r="H366" s="18">
        <v>91611.9</v>
      </c>
      <c r="I366" s="56">
        <f>SUM(F366:H366)</f>
        <v>286287.19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15808.68</v>
      </c>
      <c r="G367" s="63">
        <v>5691.12</v>
      </c>
      <c r="H367" s="63">
        <v>10117.56</v>
      </c>
      <c r="I367" s="56">
        <f>SUM(F367:H367)</f>
        <v>31617.360000000001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158952.28</v>
      </c>
      <c r="G368" s="47">
        <f>SUM(G366:G367)</f>
        <v>57222.810000000005</v>
      </c>
      <c r="H368" s="47">
        <f>SUM(H366:H367)</f>
        <v>101729.45999999999</v>
      </c>
      <c r="I368" s="47">
        <f>SUM(I366:I367)</f>
        <v>317904.55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0</v>
      </c>
      <c r="I445" s="13">
        <f>SUM(I438:I444)</f>
        <v>0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0</v>
      </c>
      <c r="I459" s="83">
        <f>SUM(I453:I458)</f>
        <v>0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0</v>
      </c>
      <c r="I460" s="42">
        <f>I451+I459</f>
        <v>0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6664.57</v>
      </c>
      <c r="G464" s="18">
        <v>87397.75</v>
      </c>
      <c r="H464" s="18">
        <v>36343.74</v>
      </c>
      <c r="I464" s="18">
        <v>0</v>
      </c>
      <c r="J464" s="18">
        <v>0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16107538.17</v>
      </c>
      <c r="G467" s="18">
        <v>562463.93000000005</v>
      </c>
      <c r="H467" s="18">
        <v>2087360.53</v>
      </c>
      <c r="I467" s="18"/>
      <c r="J467" s="18"/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16107538.17</v>
      </c>
      <c r="G469" s="53">
        <f>SUM(G467:G468)</f>
        <v>562463.93000000005</v>
      </c>
      <c r="H469" s="53">
        <f>SUM(H467:H468)</f>
        <v>2087360.53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16107573.92</v>
      </c>
      <c r="G471" s="18">
        <v>597047</v>
      </c>
      <c r="H471" s="18">
        <f>2104202.79</f>
        <v>2104202.79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16107573.92</v>
      </c>
      <c r="G473" s="53">
        <f>SUM(G471:G472)</f>
        <v>597047</v>
      </c>
      <c r="H473" s="53">
        <f>SUM(H471:H472)</f>
        <v>2104202.79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6628.820000000298</v>
      </c>
      <c r="G475" s="53">
        <f>(G464+G469)- G473</f>
        <v>52814.680000000051</v>
      </c>
      <c r="H475" s="53">
        <f>(H464+H469)- H473</f>
        <v>19501.479999999981</v>
      </c>
      <c r="I475" s="53">
        <f>(I464+I469)- I473</f>
        <v>0</v>
      </c>
      <c r="J475" s="53">
        <f>(J464+J469)- J473</f>
        <v>0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>
        <v>15</v>
      </c>
      <c r="H489" s="154">
        <v>10</v>
      </c>
      <c r="I489" s="154">
        <v>5</v>
      </c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909</v>
      </c>
      <c r="H490" s="155" t="s">
        <v>910</v>
      </c>
      <c r="I490" s="155" t="s">
        <v>911</v>
      </c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 t="s">
        <v>912</v>
      </c>
      <c r="H491" s="155" t="s">
        <v>913</v>
      </c>
      <c r="I491" s="155" t="s">
        <v>914</v>
      </c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1500000</v>
      </c>
      <c r="G492" s="18">
        <v>4500000</v>
      </c>
      <c r="H492" s="18">
        <v>1713290</v>
      </c>
      <c r="I492" s="18">
        <v>477185</v>
      </c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4.7</v>
      </c>
      <c r="G493" s="18">
        <v>4.7</v>
      </c>
      <c r="H493" s="18">
        <v>4.3</v>
      </c>
      <c r="I493" s="18">
        <v>2.99</v>
      </c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200000</v>
      </c>
      <c r="G494" s="18">
        <v>600000</v>
      </c>
      <c r="H494" s="18">
        <v>1089993.77</v>
      </c>
      <c r="I494" s="18">
        <v>372567.88</v>
      </c>
      <c r="J494" s="18"/>
      <c r="K494" s="53">
        <f>SUM(F494:J494)</f>
        <v>2262561.65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100000</v>
      </c>
      <c r="G496" s="18">
        <v>300000</v>
      </c>
      <c r="H496" s="18">
        <v>162764.68</v>
      </c>
      <c r="I496" s="18">
        <v>106820.28</v>
      </c>
      <c r="J496" s="18"/>
      <c r="K496" s="53">
        <f t="shared" si="35"/>
        <v>669584.96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100000</v>
      </c>
      <c r="G497" s="205">
        <v>300000</v>
      </c>
      <c r="H497" s="205">
        <f>1089993.77-162764.68</f>
        <v>927229.09000000008</v>
      </c>
      <c r="I497" s="205">
        <f>372567.88-106820.28</f>
        <v>265747.59999999998</v>
      </c>
      <c r="J497" s="205"/>
      <c r="K497" s="206">
        <f t="shared" si="35"/>
        <v>1592976.69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4950</v>
      </c>
      <c r="G498" s="18">
        <v>14700</v>
      </c>
      <c r="H498" s="18">
        <f>173081.65-47747.89</f>
        <v>125333.75999999999</v>
      </c>
      <c r="I498" s="18">
        <f>32028.92-11969.16</f>
        <v>20059.759999999998</v>
      </c>
      <c r="J498" s="18"/>
      <c r="K498" s="53">
        <f t="shared" si="35"/>
        <v>165043.52000000002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104950</v>
      </c>
      <c r="G499" s="42">
        <f>SUM(G497:G498)</f>
        <v>314700</v>
      </c>
      <c r="H499" s="42">
        <f>SUM(H497:H498)</f>
        <v>1052562.8500000001</v>
      </c>
      <c r="I499" s="42">
        <f>SUM(I497:I498)</f>
        <v>285807.35999999999</v>
      </c>
      <c r="J499" s="42">
        <f>SUM(J497:J498)</f>
        <v>0</v>
      </c>
      <c r="K499" s="42">
        <f t="shared" si="35"/>
        <v>1758020.21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100000</v>
      </c>
      <c r="G500" s="205">
        <v>300000</v>
      </c>
      <c r="H500" s="205">
        <v>169894.69</v>
      </c>
      <c r="I500" s="205">
        <v>96578.9</v>
      </c>
      <c r="J500" s="205"/>
      <c r="K500" s="206">
        <f t="shared" si="35"/>
        <v>666473.59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4950</v>
      </c>
      <c r="G501" s="18">
        <v>14700</v>
      </c>
      <c r="H501" s="18">
        <v>40617.879999999997</v>
      </c>
      <c r="I501" s="18">
        <v>6767.9</v>
      </c>
      <c r="J501" s="18"/>
      <c r="K501" s="53">
        <f t="shared" si="35"/>
        <v>67035.78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104950</v>
      </c>
      <c r="G502" s="42">
        <f>SUM(G500:G501)</f>
        <v>314700</v>
      </c>
      <c r="H502" s="42">
        <f>SUM(H500:H501)</f>
        <v>210512.57</v>
      </c>
      <c r="I502" s="42">
        <f>SUM(I500:I501)</f>
        <v>103346.79999999999</v>
      </c>
      <c r="J502" s="42">
        <f>SUM(J500:J501)</f>
        <v>0</v>
      </c>
      <c r="K502" s="42">
        <f t="shared" si="35"/>
        <v>733509.37000000011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603473.43000000005</v>
      </c>
      <c r="G506" s="144"/>
      <c r="H506" s="144">
        <v>82737.67</v>
      </c>
      <c r="I506" s="144">
        <v>520735.76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34137.12+13051.2+736351.05+7810.07</f>
        <v>791349.44000000006</v>
      </c>
      <c r="G520" s="18">
        <f>998.53+5696.8+163501.02+597.46</f>
        <v>170793.80999999997</v>
      </c>
      <c r="H520" s="18">
        <f>15920.39+305.44+250603.99+21004.27+5162.63</f>
        <v>292996.72000000003</v>
      </c>
      <c r="I520" s="18">
        <f>2332.36+493.13+56.45+3832.54</f>
        <v>6714.48</v>
      </c>
      <c r="J520" s="18">
        <f>6783.16+2879.5</f>
        <v>9662.66</v>
      </c>
      <c r="K520" s="18"/>
      <c r="L520" s="88">
        <f>SUM(F520:K520)</f>
        <v>1271517.1099999999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1961.9+4078.5+325441.09</f>
        <v>331481.49000000005</v>
      </c>
      <c r="G521" s="18">
        <f>312.04+327.4+54720.7</f>
        <v>55360.14</v>
      </c>
      <c r="H521" s="18">
        <f>4975.12+17.55+79787.43+1613.33</f>
        <v>86393.43</v>
      </c>
      <c r="I521" s="18">
        <f>1500+17.64</f>
        <v>1517.64</v>
      </c>
      <c r="J521" s="18">
        <f>2119.74</f>
        <v>2119.7399999999998</v>
      </c>
      <c r="K521" s="18"/>
      <c r="L521" s="88">
        <f>SUM(F521:K521)</f>
        <v>476872.44000000006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3139.05+10060.3+469823.95</f>
        <v>483023.3</v>
      </c>
      <c r="G522" s="18">
        <f>769.7+523.84+124690.67</f>
        <v>125984.20999999999</v>
      </c>
      <c r="H522" s="18">
        <f>12271.97+28.09+622134.5+3979.54</f>
        <v>638414.10000000009</v>
      </c>
      <c r="I522" s="18">
        <f>1926.07+43.51</f>
        <v>1969.58</v>
      </c>
      <c r="J522" s="18">
        <f>679.92+5228.69</f>
        <v>5908.61</v>
      </c>
      <c r="K522" s="18"/>
      <c r="L522" s="88">
        <f>SUM(F522:K522)</f>
        <v>1255299.8000000003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1605854.2300000002</v>
      </c>
      <c r="G523" s="108">
        <f t="shared" ref="G523:L523" si="36">SUM(G520:G522)</f>
        <v>352138.15999999992</v>
      </c>
      <c r="H523" s="108">
        <f t="shared" si="36"/>
        <v>1017804.2500000001</v>
      </c>
      <c r="I523" s="108">
        <f t="shared" si="36"/>
        <v>10201.699999999999</v>
      </c>
      <c r="J523" s="108">
        <f t="shared" si="36"/>
        <v>17691.009999999998</v>
      </c>
      <c r="K523" s="108">
        <f t="shared" si="36"/>
        <v>0</v>
      </c>
      <c r="L523" s="89">
        <f t="shared" si="36"/>
        <v>3003689.35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118629.02+10616+96150.4+52062.5+7362</f>
        <v>284819.92</v>
      </c>
      <c r="G525" s="18">
        <f>28532.77+812.14+47706.37+13667.8+3363.49</f>
        <v>94082.57</v>
      </c>
      <c r="H525" s="18">
        <f>142979.37+8290.45+288.8</f>
        <v>151558.62</v>
      </c>
      <c r="I525" s="18">
        <f>759.86+244.59</f>
        <v>1004.45</v>
      </c>
      <c r="J525" s="18"/>
      <c r="K525" s="18"/>
      <c r="L525" s="88">
        <f>SUM(F525:K525)</f>
        <v>531465.55999999994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14526+10121.09+6375</f>
        <v>31022.09</v>
      </c>
      <c r="G526" s="18">
        <f>3493.81+5021.72+1673.61</f>
        <v>10189.140000000001</v>
      </c>
      <c r="H526" s="18">
        <f>14855+409.41</f>
        <v>15264.41</v>
      </c>
      <c r="I526" s="18">
        <f>79.98+29.95</f>
        <v>109.93</v>
      </c>
      <c r="J526" s="18"/>
      <c r="K526" s="18"/>
      <c r="L526" s="88">
        <f>SUM(F526:K526)</f>
        <v>56585.57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108945.01+15924+20242.19+47812.5</f>
        <v>192923.69999999998</v>
      </c>
      <c r="G527" s="18">
        <f>26203.56+1218.2+10043.44+12552.07</f>
        <v>50017.270000000004</v>
      </c>
      <c r="H527" s="18">
        <f>27853.13+1535.27+433.21</f>
        <v>29821.61</v>
      </c>
      <c r="I527" s="18">
        <f>159.97+224.62+187.98+106.26</f>
        <v>678.83</v>
      </c>
      <c r="J527" s="18"/>
      <c r="K527" s="18"/>
      <c r="L527" s="88">
        <f>SUM(F527:K527)</f>
        <v>273441.40999999997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508765.70999999996</v>
      </c>
      <c r="G528" s="89">
        <f t="shared" ref="G528:L528" si="37">SUM(G525:G527)</f>
        <v>154288.98000000001</v>
      </c>
      <c r="H528" s="89">
        <f t="shared" si="37"/>
        <v>196644.64</v>
      </c>
      <c r="I528" s="89">
        <f t="shared" si="37"/>
        <v>1793.21</v>
      </c>
      <c r="J528" s="89">
        <f t="shared" si="37"/>
        <v>0</v>
      </c>
      <c r="K528" s="89">
        <f t="shared" si="37"/>
        <v>0</v>
      </c>
      <c r="L528" s="89">
        <f t="shared" si="37"/>
        <v>861492.5399999998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46871.34</f>
        <v>46871.34</v>
      </c>
      <c r="G530" s="18">
        <f>9297.39</f>
        <v>9297.39</v>
      </c>
      <c r="H530" s="18">
        <f>2952.37</f>
        <v>2952.37</v>
      </c>
      <c r="I530" s="18">
        <f>2490.21</f>
        <v>2490.21</v>
      </c>
      <c r="J530" s="18">
        <f>633.04</f>
        <v>633.04</v>
      </c>
      <c r="K530" s="18">
        <f>251.52</f>
        <v>251.52</v>
      </c>
      <c r="L530" s="88">
        <f>SUM(F530:K530)</f>
        <v>62495.869999999995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14647.3</f>
        <v>14647.3</v>
      </c>
      <c r="G531" s="18">
        <f>2905.44</f>
        <v>2905.44</v>
      </c>
      <c r="H531" s="18">
        <f>922.62</f>
        <v>922.62</v>
      </c>
      <c r="I531" s="18">
        <f>143.12</f>
        <v>143.12</v>
      </c>
      <c r="J531" s="18">
        <f>197.82</f>
        <v>197.82</v>
      </c>
      <c r="K531" s="18">
        <f>78.6</f>
        <v>78.599999999999994</v>
      </c>
      <c r="L531" s="88">
        <f>SUM(F531:K531)</f>
        <v>18894.899999999994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36130</f>
        <v>36130</v>
      </c>
      <c r="G532" s="18">
        <f>7166.74</f>
        <v>7166.74</v>
      </c>
      <c r="H532" s="18">
        <f>2275.78</f>
        <v>2275.7800000000002</v>
      </c>
      <c r="I532" s="18">
        <f>228.98</f>
        <v>228.98</v>
      </c>
      <c r="J532" s="18">
        <f>487.97</f>
        <v>487.97</v>
      </c>
      <c r="K532" s="18">
        <f>193.88</f>
        <v>193.88</v>
      </c>
      <c r="L532" s="88">
        <f>SUM(F532:K532)</f>
        <v>46483.35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97648.639999999999</v>
      </c>
      <c r="G533" s="89">
        <f t="shared" ref="G533:L533" si="38">SUM(G530:G532)</f>
        <v>19369.57</v>
      </c>
      <c r="H533" s="89">
        <f t="shared" si="38"/>
        <v>6150.77</v>
      </c>
      <c r="I533" s="89">
        <f t="shared" si="38"/>
        <v>2862.31</v>
      </c>
      <c r="J533" s="89">
        <f t="shared" si="38"/>
        <v>1318.83</v>
      </c>
      <c r="K533" s="89">
        <f t="shared" si="38"/>
        <v>524</v>
      </c>
      <c r="L533" s="89">
        <f t="shared" si="38"/>
        <v>127874.12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f>1554.35+6369.03</f>
        <v>7923.3799999999992</v>
      </c>
      <c r="G540" s="18">
        <f>118.9+486.44</f>
        <v>605.34</v>
      </c>
      <c r="H540" s="18"/>
      <c r="I540" s="18"/>
      <c r="J540" s="18"/>
      <c r="K540" s="18"/>
      <c r="L540" s="88">
        <f>SUM(F540:K540)</f>
        <v>8528.7199999999993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f>89.33+74.67</f>
        <v>164</v>
      </c>
      <c r="G541" s="18">
        <f>6.83+5.69</f>
        <v>12.52</v>
      </c>
      <c r="H541" s="18"/>
      <c r="I541" s="18"/>
      <c r="J541" s="18"/>
      <c r="K541" s="18"/>
      <c r="L541" s="88">
        <f>SUM(F541:K541)</f>
        <v>176.52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f>142.93+1268.38</f>
        <v>1411.3100000000002</v>
      </c>
      <c r="G542" s="18">
        <f>10.93+96.89</f>
        <v>107.82</v>
      </c>
      <c r="H542" s="18">
        <f>11971.59</f>
        <v>11971.59</v>
      </c>
      <c r="I542" s="18"/>
      <c r="J542" s="18"/>
      <c r="K542" s="18"/>
      <c r="L542" s="88">
        <f>SUM(F542:K542)</f>
        <v>13490.720000000001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9498.6899999999987</v>
      </c>
      <c r="G543" s="194">
        <f t="shared" ref="G543:L543" si="40">SUM(G540:G542)</f>
        <v>725.68000000000006</v>
      </c>
      <c r="H543" s="194">
        <f t="shared" si="40"/>
        <v>11971.59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22195.96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2221767.2700000005</v>
      </c>
      <c r="G544" s="89">
        <f t="shared" ref="G544:L544" si="41">G523+G528+G533+G538+G543</f>
        <v>526522.3899999999</v>
      </c>
      <c r="H544" s="89">
        <f t="shared" si="41"/>
        <v>1232571.2500000002</v>
      </c>
      <c r="I544" s="89">
        <f t="shared" si="41"/>
        <v>14857.22</v>
      </c>
      <c r="J544" s="89">
        <f t="shared" si="41"/>
        <v>19009.839999999997</v>
      </c>
      <c r="K544" s="89">
        <f t="shared" si="41"/>
        <v>524</v>
      </c>
      <c r="L544" s="89">
        <f t="shared" si="41"/>
        <v>4015251.9699999997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1271517.1099999999</v>
      </c>
      <c r="G548" s="87">
        <f>L525</f>
        <v>531465.55999999994</v>
      </c>
      <c r="H548" s="87">
        <f>L530</f>
        <v>62495.869999999995</v>
      </c>
      <c r="I548" s="87">
        <f>L535</f>
        <v>0</v>
      </c>
      <c r="J548" s="87">
        <f>L540</f>
        <v>8528.7199999999993</v>
      </c>
      <c r="K548" s="87">
        <f>SUM(F548:J548)</f>
        <v>1874007.26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476872.44000000006</v>
      </c>
      <c r="G549" s="87">
        <f>L526</f>
        <v>56585.57</v>
      </c>
      <c r="H549" s="87">
        <f>L531</f>
        <v>18894.899999999994</v>
      </c>
      <c r="I549" s="87">
        <f>L536</f>
        <v>0</v>
      </c>
      <c r="J549" s="87">
        <f>L541</f>
        <v>176.52</v>
      </c>
      <c r="K549" s="87">
        <f>SUM(F549:J549)</f>
        <v>552529.43000000005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1255299.8000000003</v>
      </c>
      <c r="G550" s="87">
        <f>L527</f>
        <v>273441.40999999997</v>
      </c>
      <c r="H550" s="87">
        <f>L532</f>
        <v>46483.35</v>
      </c>
      <c r="I550" s="87">
        <f>L537</f>
        <v>0</v>
      </c>
      <c r="J550" s="87">
        <f>L542</f>
        <v>13490.720000000001</v>
      </c>
      <c r="K550" s="87">
        <f>SUM(F550:J550)</f>
        <v>1588715.2800000003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3003689.35</v>
      </c>
      <c r="G551" s="89">
        <f t="shared" si="42"/>
        <v>861492.5399999998</v>
      </c>
      <c r="H551" s="89">
        <f t="shared" si="42"/>
        <v>127874.12</v>
      </c>
      <c r="I551" s="89">
        <f t="shared" si="42"/>
        <v>0</v>
      </c>
      <c r="J551" s="89">
        <f t="shared" si="42"/>
        <v>22195.96</v>
      </c>
      <c r="K551" s="89">
        <f t="shared" si="42"/>
        <v>4015251.97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499676.2</v>
      </c>
      <c r="G556" s="18">
        <v>123040.86</v>
      </c>
      <c r="H556" s="18">
        <v>4861.18</v>
      </c>
      <c r="I556" s="18">
        <v>14935.76</v>
      </c>
      <c r="J556" s="18">
        <v>14804.78</v>
      </c>
      <c r="K556" s="18"/>
      <c r="L556" s="88">
        <f>SUM(F556:K556)</f>
        <v>657318.78000000014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>
        <v>84433.75</v>
      </c>
      <c r="I558" s="18"/>
      <c r="J558" s="18"/>
      <c r="K558" s="18"/>
      <c r="L558" s="88">
        <f>SUM(F558:K558)</f>
        <v>84433.75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499676.2</v>
      </c>
      <c r="G559" s="108">
        <f t="shared" si="43"/>
        <v>123040.86</v>
      </c>
      <c r="H559" s="108">
        <f t="shared" si="43"/>
        <v>89294.93</v>
      </c>
      <c r="I559" s="108">
        <f t="shared" si="43"/>
        <v>14935.76</v>
      </c>
      <c r="J559" s="108">
        <f t="shared" si="43"/>
        <v>14804.78</v>
      </c>
      <c r="K559" s="108">
        <f t="shared" si="43"/>
        <v>0</v>
      </c>
      <c r="L559" s="89">
        <f t="shared" si="43"/>
        <v>741752.53000000014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499676.2</v>
      </c>
      <c r="G570" s="89">
        <f t="shared" ref="G570:L570" si="46">G559+G564+G569</f>
        <v>123040.86</v>
      </c>
      <c r="H570" s="89">
        <f t="shared" si="46"/>
        <v>89294.93</v>
      </c>
      <c r="I570" s="89">
        <f t="shared" si="46"/>
        <v>14935.76</v>
      </c>
      <c r="J570" s="89">
        <f t="shared" si="46"/>
        <v>14804.78</v>
      </c>
      <c r="K570" s="89">
        <f t="shared" si="46"/>
        <v>0</v>
      </c>
      <c r="L570" s="89">
        <f t="shared" si="46"/>
        <v>741752.53000000014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28775.360000000001</v>
      </c>
      <c r="G574" s="18"/>
      <c r="H574" s="18"/>
      <c r="I574" s="87">
        <f>SUM(F574:H574)</f>
        <v>28775.360000000001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>
        <v>20821.38</v>
      </c>
      <c r="I577" s="87">
        <f t="shared" si="47"/>
        <v>20821.38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5810.63</f>
        <v>5810.63</v>
      </c>
      <c r="G578" s="18"/>
      <c r="H578" s="18">
        <f>708</f>
        <v>708</v>
      </c>
      <c r="I578" s="87">
        <f t="shared" si="47"/>
        <v>6518.63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244793.36+21004.27</f>
        <v>265797.63</v>
      </c>
      <c r="G581" s="18">
        <v>79787.429999999993</v>
      </c>
      <c r="H581" s="18">
        <v>621426.5</v>
      </c>
      <c r="I581" s="87">
        <f t="shared" si="47"/>
        <v>967011.56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156478.89+3603.54+480.36</f>
        <v>160562.79</v>
      </c>
      <c r="I590" s="18">
        <f>85102.56+1959.82+258.63</f>
        <v>87321.010000000009</v>
      </c>
      <c r="J590" s="18">
        <f>32942.93+758.64+203.32</f>
        <v>33904.89</v>
      </c>
      <c r="K590" s="104">
        <f t="shared" ref="K590:K596" si="48">SUM(H590:J590)</f>
        <v>281788.69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1673.25+6855.47</f>
        <v>8528.7200000000012</v>
      </c>
      <c r="I591" s="18">
        <f>96.16+80.36</f>
        <v>176.51999999999998</v>
      </c>
      <c r="J591" s="18">
        <f>153.86+13336.86</f>
        <v>13490.720000000001</v>
      </c>
      <c r="K591" s="104">
        <f t="shared" si="48"/>
        <v>22195.960000000003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f>268.15</f>
        <v>268.14999999999998</v>
      </c>
      <c r="I593" s="18">
        <f>3790.21</f>
        <v>3790.21</v>
      </c>
      <c r="J593" s="18">
        <f>17762.49</f>
        <v>17762.490000000002</v>
      </c>
      <c r="K593" s="104">
        <f t="shared" si="48"/>
        <v>21820.850000000002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2484.05</f>
        <v>2484.0500000000002</v>
      </c>
      <c r="I594" s="18">
        <f>2115.35</f>
        <v>2115.35</v>
      </c>
      <c r="J594" s="18">
        <f>3898.22</f>
        <v>3898.22</v>
      </c>
      <c r="K594" s="104">
        <f t="shared" si="48"/>
        <v>8497.619999999999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f>2407.18</f>
        <v>2407.1799999999998</v>
      </c>
      <c r="I596" s="18">
        <f>845.77</f>
        <v>845.77</v>
      </c>
      <c r="J596" s="18"/>
      <c r="K596" s="104">
        <f t="shared" si="48"/>
        <v>3252.95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174250.88999999998</v>
      </c>
      <c r="I597" s="108">
        <f>SUM(I590:I596)</f>
        <v>94248.86000000003</v>
      </c>
      <c r="J597" s="108">
        <f>SUM(J590:J596)</f>
        <v>69056.320000000007</v>
      </c>
      <c r="K597" s="108">
        <f>SUM(K590:K596)</f>
        <v>337556.07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156161.10999999999</v>
      </c>
      <c r="I603" s="18">
        <v>45145.2</v>
      </c>
      <c r="J603" s="18">
        <v>137036.49</v>
      </c>
      <c r="K603" s="104">
        <f>SUM(H603:J603)</f>
        <v>338342.8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156161.10999999999</v>
      </c>
      <c r="I604" s="108">
        <f>SUM(I601:I603)</f>
        <v>45145.2</v>
      </c>
      <c r="J604" s="108">
        <f>SUM(J601:J603)</f>
        <v>137036.49</v>
      </c>
      <c r="K604" s="108">
        <f>SUM(K601:K603)</f>
        <v>338342.8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6628.82</v>
      </c>
      <c r="H616" s="109">
        <f>SUM(F51)</f>
        <v>6628.82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52814.68</v>
      </c>
      <c r="H617" s="109">
        <f>SUM(G51)</f>
        <v>52814.68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19501.48</v>
      </c>
      <c r="H618" s="109">
        <f>SUM(H51)</f>
        <v>19501.48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0</v>
      </c>
      <c r="H620" s="109">
        <f>SUM(J51)</f>
        <v>0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6628.82</v>
      </c>
      <c r="H621" s="109">
        <f>F475</f>
        <v>6628.820000000298</v>
      </c>
      <c r="I621" s="121" t="s">
        <v>101</v>
      </c>
      <c r="J621" s="109">
        <f t="shared" ref="J621:J654" si="50">G621-H621</f>
        <v>-2.9831426218152046E-10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52814.68</v>
      </c>
      <c r="H622" s="109">
        <f>G475</f>
        <v>52814.680000000051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19501.48</v>
      </c>
      <c r="H623" s="109">
        <f>H475</f>
        <v>19501.479999999981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0</v>
      </c>
      <c r="H625" s="109">
        <f>J475</f>
        <v>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16107538.17</v>
      </c>
      <c r="H626" s="104">
        <f>SUM(F467)</f>
        <v>16107538.17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562463.92999999993</v>
      </c>
      <c r="H627" s="104">
        <f>SUM(G467)</f>
        <v>562463.93000000005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2087360.53</v>
      </c>
      <c r="H628" s="104">
        <f>SUM(H467)</f>
        <v>2087360.53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16107573.92</v>
      </c>
      <c r="H631" s="104">
        <f>SUM(F471)</f>
        <v>16107573.92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2104202.79</v>
      </c>
      <c r="H632" s="104">
        <f>SUM(H471)</f>
        <v>2104202.79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317904.55</v>
      </c>
      <c r="H633" s="104">
        <f>I368</f>
        <v>317904.55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597047</v>
      </c>
      <c r="H634" s="104">
        <f>SUM(G471)</f>
        <v>597047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0</v>
      </c>
      <c r="H641" s="104">
        <f>SUM(I460)</f>
        <v>0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337556.07</v>
      </c>
      <c r="H646" s="104">
        <f>L207+L225+L243</f>
        <v>337556.07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338342.8</v>
      </c>
      <c r="H647" s="104">
        <f>(J256+J337)-(J254+J335)</f>
        <v>338342.8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174250.89</v>
      </c>
      <c r="H648" s="104">
        <f>H597</f>
        <v>174250.88999999998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94248.86</v>
      </c>
      <c r="H649" s="104">
        <f>I597</f>
        <v>94248.86000000003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69056.320000000007</v>
      </c>
      <c r="H650" s="104">
        <f>J597</f>
        <v>69056.320000000007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8034106.4899999993</v>
      </c>
      <c r="G659" s="19">
        <f>(L228+L308+L358)</f>
        <v>3308272.7399999998</v>
      </c>
      <c r="H659" s="19">
        <f>(L246+L327+L359)</f>
        <v>7456444.4800000004</v>
      </c>
      <c r="I659" s="19">
        <f>SUM(F659:H659)</f>
        <v>18798823.710000001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86120.011326854496</v>
      </c>
      <c r="G660" s="19">
        <f>(L358/IF(SUM(L357:L359)=0,1,SUM(L357:L359))*(SUM(G96:G109)))</f>
        <v>31793.218968633959</v>
      </c>
      <c r="H660" s="19">
        <f>(L359/IF(SUM(L357:L359)=0,1,SUM(L357:L359))*(SUM(G96:G109)))</f>
        <v>70380.319704511538</v>
      </c>
      <c r="I660" s="19">
        <f>SUM(F660:H660)</f>
        <v>188293.55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179013.57</v>
      </c>
      <c r="G661" s="19">
        <f>(L225+L305)-(J225+J305)</f>
        <v>95922.240000000005</v>
      </c>
      <c r="H661" s="19">
        <f>(L243+L324)-(J243+J324)</f>
        <v>69056.320000000007</v>
      </c>
      <c r="I661" s="19">
        <f>SUM(F661:H661)</f>
        <v>343992.13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456544.73</v>
      </c>
      <c r="G662" s="200">
        <f>SUM(G574:G586)+SUM(I601:I603)+L611</f>
        <v>124932.62999999999</v>
      </c>
      <c r="H662" s="200">
        <f>SUM(H574:H586)+SUM(J601:J603)+L612</f>
        <v>779992.37</v>
      </c>
      <c r="I662" s="19">
        <f>SUM(F662:H662)</f>
        <v>1361469.73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7312428.1786731444</v>
      </c>
      <c r="G663" s="19">
        <f>G659-SUM(G660:G662)</f>
        <v>3055624.6510313656</v>
      </c>
      <c r="H663" s="19">
        <f>H659-SUM(H660:H662)</f>
        <v>6537015.4702954888</v>
      </c>
      <c r="I663" s="19">
        <f>I659-SUM(I660:I662)</f>
        <v>16905068.300000001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f>217.63+348.5</f>
        <v>566.13</v>
      </c>
      <c r="G664" s="249">
        <f>232.54</f>
        <v>232.54</v>
      </c>
      <c r="H664" s="249">
        <v>430.83</v>
      </c>
      <c r="I664" s="19">
        <f>SUM(F664:H664)</f>
        <v>1229.5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12916.52</v>
      </c>
      <c r="G666" s="19">
        <f>ROUND(G663/G664,2)</f>
        <v>13140.21</v>
      </c>
      <c r="H666" s="19">
        <f>ROUND(H663/H664,2)</f>
        <v>15173.07</v>
      </c>
      <c r="I666" s="19">
        <f>ROUND(I663/I664,2)</f>
        <v>13749.55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8</v>
      </c>
      <c r="I669" s="19">
        <f>SUM(F669:H669)</f>
        <v>8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12916.52</v>
      </c>
      <c r="G671" s="19">
        <f>ROUND((G663+G668)/(G664+G669),2)</f>
        <v>13140.21</v>
      </c>
      <c r="H671" s="19">
        <f>ROUND((H663+H668)/(H664+H669),2)</f>
        <v>14896.46</v>
      </c>
      <c r="I671" s="19">
        <f>ROUND((I663+I668)/(I664+I669),2)</f>
        <v>13660.66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Berlin Public Schools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5034735.58</v>
      </c>
      <c r="C9" s="230">
        <f>'DOE25'!G196+'DOE25'!G214+'DOE25'!G232+'DOE25'!G275+'DOE25'!G294+'DOE25'!G313</f>
        <v>2070969.75</v>
      </c>
    </row>
    <row r="10" spans="1:3" x14ac:dyDescent="0.2">
      <c r="A10" t="s">
        <v>779</v>
      </c>
      <c r="B10" s="241">
        <v>4810756.79</v>
      </c>
      <c r="C10" s="241">
        <v>2049935.4</v>
      </c>
    </row>
    <row r="11" spans="1:3" x14ac:dyDescent="0.2">
      <c r="A11" t="s">
        <v>780</v>
      </c>
      <c r="B11" s="241">
        <v>119502.66</v>
      </c>
      <c r="C11" s="241">
        <v>11222.76</v>
      </c>
    </row>
    <row r="12" spans="1:3" x14ac:dyDescent="0.2">
      <c r="A12" t="s">
        <v>781</v>
      </c>
      <c r="B12" s="241">
        <v>104476.13</v>
      </c>
      <c r="C12" s="241">
        <v>9811.59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5034735.58</v>
      </c>
      <c r="C13" s="232">
        <f>SUM(C10:C12)</f>
        <v>2070969.75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2111530.4300000002</v>
      </c>
      <c r="C18" s="230">
        <f>'DOE25'!G197+'DOE25'!G215+'DOE25'!G233+'DOE25'!G276+'DOE25'!G295+'DOE25'!G314</f>
        <v>483915.75</v>
      </c>
    </row>
    <row r="19" spans="1:3" x14ac:dyDescent="0.2">
      <c r="A19" t="s">
        <v>779</v>
      </c>
      <c r="B19" s="241">
        <v>857729.65</v>
      </c>
      <c r="C19" s="241">
        <v>381472.16</v>
      </c>
    </row>
    <row r="20" spans="1:3" x14ac:dyDescent="0.2">
      <c r="A20" t="s">
        <v>780</v>
      </c>
      <c r="B20" s="241">
        <v>1201690.24</v>
      </c>
      <c r="C20" s="241">
        <v>98185.82</v>
      </c>
    </row>
    <row r="21" spans="1:3" x14ac:dyDescent="0.2">
      <c r="A21" t="s">
        <v>781</v>
      </c>
      <c r="B21" s="241">
        <v>52110.54</v>
      </c>
      <c r="C21" s="241">
        <v>4257.7700000000004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2111530.4300000002</v>
      </c>
      <c r="C22" s="232">
        <f>SUM(C19:C21)</f>
        <v>483915.75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399120.02</v>
      </c>
      <c r="C27" s="235">
        <f>'DOE25'!G198+'DOE25'!G216+'DOE25'!G234+'DOE25'!G277+'DOE25'!G296+'DOE25'!G315</f>
        <v>204117.83000000002</v>
      </c>
    </row>
    <row r="28" spans="1:3" x14ac:dyDescent="0.2">
      <c r="A28" t="s">
        <v>779</v>
      </c>
      <c r="B28" s="241">
        <v>380644.24</v>
      </c>
      <c r="C28" s="241">
        <v>202604.29</v>
      </c>
    </row>
    <row r="29" spans="1:3" x14ac:dyDescent="0.2">
      <c r="A29" t="s">
        <v>780</v>
      </c>
      <c r="B29" s="241">
        <v>18475.78</v>
      </c>
      <c r="C29" s="241">
        <v>1513.54</v>
      </c>
    </row>
    <row r="30" spans="1:3" x14ac:dyDescent="0.2">
      <c r="A30" t="s">
        <v>781</v>
      </c>
      <c r="B30" s="241">
        <v>0</v>
      </c>
      <c r="C30" s="241">
        <v>0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399120.02</v>
      </c>
      <c r="C31" s="232">
        <f>SUM(C28:C30)</f>
        <v>204117.83000000002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323878.40000000002</v>
      </c>
      <c r="C36" s="236">
        <f>'DOE25'!G199+'DOE25'!G217+'DOE25'!G235+'DOE25'!G278+'DOE25'!G297+'DOE25'!G316</f>
        <v>50925.950000000004</v>
      </c>
    </row>
    <row r="37" spans="1:3" x14ac:dyDescent="0.2">
      <c r="A37" t="s">
        <v>779</v>
      </c>
      <c r="B37" s="241">
        <v>159060.66</v>
      </c>
      <c r="C37" s="241">
        <v>23929.41</v>
      </c>
    </row>
    <row r="38" spans="1:3" x14ac:dyDescent="0.2">
      <c r="A38" t="s">
        <v>780</v>
      </c>
      <c r="B38" s="241">
        <v>12940.11</v>
      </c>
      <c r="C38" s="241">
        <v>1028.01</v>
      </c>
    </row>
    <row r="39" spans="1:3" x14ac:dyDescent="0.2">
      <c r="A39" t="s">
        <v>781</v>
      </c>
      <c r="B39" s="241">
        <v>151877.63</v>
      </c>
      <c r="C39" s="241">
        <v>25968.53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323878.40000000002</v>
      </c>
      <c r="C40" s="232">
        <f>SUM(C37:C39)</f>
        <v>50925.95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selection sqref="A1:H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Berlin Public Schools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11141067.970000001</v>
      </c>
      <c r="D5" s="20">
        <f>SUM('DOE25'!L196:L199)+SUM('DOE25'!L214:L217)+SUM('DOE25'!L232:L235)-F5-G5</f>
        <v>10976906.75</v>
      </c>
      <c r="E5" s="244"/>
      <c r="F5" s="256">
        <f>SUM('DOE25'!J196:J199)+SUM('DOE25'!J214:J217)+SUM('DOE25'!J232:J235)</f>
        <v>155420.21999999997</v>
      </c>
      <c r="G5" s="53">
        <f>SUM('DOE25'!K196:K199)+SUM('DOE25'!K214:K217)+SUM('DOE25'!K232:K235)</f>
        <v>8741</v>
      </c>
      <c r="H5" s="260"/>
    </row>
    <row r="6" spans="1:9" x14ac:dyDescent="0.2">
      <c r="A6" s="32">
        <v>2100</v>
      </c>
      <c r="B6" t="s">
        <v>801</v>
      </c>
      <c r="C6" s="246">
        <f t="shared" si="0"/>
        <v>1177756.93</v>
      </c>
      <c r="D6" s="20">
        <f>'DOE25'!L201+'DOE25'!L219+'DOE25'!L237-F6-G6</f>
        <v>1174781.5699999998</v>
      </c>
      <c r="E6" s="244"/>
      <c r="F6" s="256">
        <f>'DOE25'!J201+'DOE25'!J219+'DOE25'!J237</f>
        <v>2155.36</v>
      </c>
      <c r="G6" s="53">
        <f>'DOE25'!K201+'DOE25'!K219+'DOE25'!K237</f>
        <v>820</v>
      </c>
      <c r="H6" s="260"/>
    </row>
    <row r="7" spans="1:9" x14ac:dyDescent="0.2">
      <c r="A7" s="32">
        <v>2200</v>
      </c>
      <c r="B7" t="s">
        <v>834</v>
      </c>
      <c r="C7" s="246">
        <f t="shared" si="0"/>
        <v>309996.52</v>
      </c>
      <c r="D7" s="20">
        <f>'DOE25'!L202+'DOE25'!L220+'DOE25'!L238-F7-G7</f>
        <v>308373.44</v>
      </c>
      <c r="E7" s="244"/>
      <c r="F7" s="256">
        <f>'DOE25'!J202+'DOE25'!J220+'DOE25'!J238</f>
        <v>1163.08</v>
      </c>
      <c r="G7" s="53">
        <f>'DOE25'!K202+'DOE25'!K220+'DOE25'!K238</f>
        <v>460</v>
      </c>
      <c r="H7" s="260"/>
    </row>
    <row r="8" spans="1:9" x14ac:dyDescent="0.2">
      <c r="A8" s="32">
        <v>2300</v>
      </c>
      <c r="B8" t="s">
        <v>802</v>
      </c>
      <c r="C8" s="246">
        <f t="shared" si="0"/>
        <v>350343.87999999995</v>
      </c>
      <c r="D8" s="244"/>
      <c r="E8" s="20">
        <f>'DOE25'!L203+'DOE25'!L221+'DOE25'!L239-F8-G8-D9-D11</f>
        <v>327874.42999999993</v>
      </c>
      <c r="F8" s="256">
        <f>'DOE25'!J203+'DOE25'!J221+'DOE25'!J239</f>
        <v>1968.81</v>
      </c>
      <c r="G8" s="53">
        <f>'DOE25'!K203+'DOE25'!K221+'DOE25'!K239</f>
        <v>20500.64</v>
      </c>
      <c r="H8" s="260"/>
    </row>
    <row r="9" spans="1:9" x14ac:dyDescent="0.2">
      <c r="A9" s="32">
        <v>2310</v>
      </c>
      <c r="B9" t="s">
        <v>818</v>
      </c>
      <c r="C9" s="246">
        <f t="shared" si="0"/>
        <v>14105.64</v>
      </c>
      <c r="D9" s="245">
        <v>14105.64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222029.52</v>
      </c>
      <c r="D11" s="245">
        <v>222029.52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839989.22000000009</v>
      </c>
      <c r="D12" s="20">
        <f>'DOE25'!L204+'DOE25'!L222+'DOE25'!L240-F12-G12</f>
        <v>823810.47000000009</v>
      </c>
      <c r="E12" s="244"/>
      <c r="F12" s="256">
        <f>'DOE25'!J204+'DOE25'!J222+'DOE25'!J240</f>
        <v>9349.75</v>
      </c>
      <c r="G12" s="53">
        <f>'DOE25'!K204+'DOE25'!K222+'DOE25'!K240</f>
        <v>6829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221101.28000000003</v>
      </c>
      <c r="D13" s="244"/>
      <c r="E13" s="20">
        <f>'DOE25'!L205+'DOE25'!L223+'DOE25'!L241-F13-G13</f>
        <v>220180.35000000003</v>
      </c>
      <c r="F13" s="256">
        <f>'DOE25'!J205+'DOE25'!J223+'DOE25'!J241</f>
        <v>0</v>
      </c>
      <c r="G13" s="53">
        <f>'DOE25'!K205+'DOE25'!K223+'DOE25'!K241</f>
        <v>920.93000000000006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1492795.97</v>
      </c>
      <c r="D14" s="20">
        <f>'DOE25'!L206+'DOE25'!L224+'DOE25'!L242-F14-G14</f>
        <v>1476769.83</v>
      </c>
      <c r="E14" s="244"/>
      <c r="F14" s="256">
        <f>'DOE25'!J206+'DOE25'!J224+'DOE25'!J242</f>
        <v>16026.14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337556.07</v>
      </c>
      <c r="D15" s="20">
        <f>'DOE25'!L207+'DOE25'!L225+'DOE25'!L243-F15-G15</f>
        <v>337231.07</v>
      </c>
      <c r="E15" s="244"/>
      <c r="F15" s="256">
        <f>'DOE25'!J207+'DOE25'!J225+'DOE25'!J243</f>
        <v>0</v>
      </c>
      <c r="G15" s="53">
        <f>'DOE25'!K207+'DOE25'!K225+'DOE25'!K243</f>
        <v>325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830.92</v>
      </c>
      <c r="D16" s="244"/>
      <c r="E16" s="20">
        <f>'DOE25'!L208+'DOE25'!L226+'DOE25'!L244-F16-G16</f>
        <v>830.92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310759.81</v>
      </c>
      <c r="D29" s="20">
        <f>'DOE25'!L357+'DOE25'!L358+'DOE25'!L359-'DOE25'!I366-F29-G29</f>
        <v>308533.52</v>
      </c>
      <c r="E29" s="244"/>
      <c r="F29" s="256">
        <f>'DOE25'!J357+'DOE25'!J358+'DOE25'!J359</f>
        <v>1417.29</v>
      </c>
      <c r="G29" s="53">
        <f>'DOE25'!K357+'DOE25'!K358+'DOE25'!K359</f>
        <v>809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2094202.7899999998</v>
      </c>
      <c r="D31" s="20">
        <f>'DOE25'!L289+'DOE25'!L308+'DOE25'!L327+'DOE25'!L332+'DOE25'!L333+'DOE25'!L334-F31-G31</f>
        <v>1916072.65</v>
      </c>
      <c r="E31" s="244"/>
      <c r="F31" s="256">
        <f>'DOE25'!J289+'DOE25'!J308+'DOE25'!J327+'DOE25'!J332+'DOE25'!J333+'DOE25'!J334</f>
        <v>152259.44</v>
      </c>
      <c r="G31" s="53">
        <f>'DOE25'!K289+'DOE25'!K308+'DOE25'!K327+'DOE25'!K332+'DOE25'!K333+'DOE25'!K334</f>
        <v>25870.7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17558614.460000001</v>
      </c>
      <c r="E33" s="247">
        <f>SUM(E5:E31)</f>
        <v>548885.70000000007</v>
      </c>
      <c r="F33" s="247">
        <f>SUM(F5:F31)</f>
        <v>339760.08999999997</v>
      </c>
      <c r="G33" s="247">
        <f>SUM(G5:G31)</f>
        <v>65276.270000000004</v>
      </c>
      <c r="H33" s="247">
        <f>SUM(H5:H31)</f>
        <v>0</v>
      </c>
    </row>
    <row r="35" spans="2:8" ht="12" thickBot="1" x14ac:dyDescent="0.25">
      <c r="B35" s="254" t="s">
        <v>847</v>
      </c>
      <c r="D35" s="255">
        <f>E33</f>
        <v>548885.70000000007</v>
      </c>
      <c r="E35" s="250"/>
    </row>
    <row r="36" spans="2:8" ht="12" thickTop="1" x14ac:dyDescent="0.2">
      <c r="B36" t="s">
        <v>815</v>
      </c>
      <c r="D36" s="20">
        <f>D33</f>
        <v>17558614.460000001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workbookViewId="0"/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Berlin Public Schools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6628.82</v>
      </c>
      <c r="D8" s="95">
        <f>'DOE25'!G9</f>
        <v>52814.68</v>
      </c>
      <c r="E8" s="95">
        <f>'DOE25'!H9</f>
        <v>19501.48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6628.82</v>
      </c>
      <c r="D18" s="41">
        <f>SUM(D8:D17)</f>
        <v>52814.68</v>
      </c>
      <c r="E18" s="41">
        <f>SUM(E8:E17)</f>
        <v>19501.48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6628.82</v>
      </c>
      <c r="D46" s="95">
        <f>'DOE25'!G47</f>
        <v>52814.68</v>
      </c>
      <c r="E46" s="95">
        <f>'DOE25'!H47</f>
        <v>19501.48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6628.82</v>
      </c>
      <c r="D49" s="41">
        <f>SUM(D34:D48)</f>
        <v>52814.68</v>
      </c>
      <c r="E49" s="41">
        <f>SUM(E34:E48)</f>
        <v>19501.48</v>
      </c>
      <c r="F49" s="41">
        <f>SUM(F34:F48)</f>
        <v>0</v>
      </c>
      <c r="G49" s="41">
        <f>SUM(G34:G48)</f>
        <v>0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6628.82</v>
      </c>
      <c r="D50" s="41">
        <f>D49+D31</f>
        <v>52814.68</v>
      </c>
      <c r="E50" s="41">
        <f>E49+E31</f>
        <v>19501.48</v>
      </c>
      <c r="F50" s="41">
        <f>F49+F31</f>
        <v>0</v>
      </c>
      <c r="G50" s="41">
        <f>G49+G31</f>
        <v>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2316076.92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1412938.81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6219.94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188293.55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59886.590000000004</v>
      </c>
      <c r="D60" s="95">
        <f>SUM('DOE25'!G97:G109)</f>
        <v>0</v>
      </c>
      <c r="E60" s="95">
        <f>SUM('DOE25'!H97:H109)</f>
        <v>54800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1479045.34</v>
      </c>
      <c r="D61" s="130">
        <f>SUM(D56:D60)</f>
        <v>188293.55</v>
      </c>
      <c r="E61" s="130">
        <f>SUM(E56:E60)</f>
        <v>54800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3795122.26</v>
      </c>
      <c r="D62" s="22">
        <f>D55+D61</f>
        <v>188293.55</v>
      </c>
      <c r="E62" s="22">
        <f>E55+E61</f>
        <v>54800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10747538.970000001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713900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9312.0300000000007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11470751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374095.91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51949.85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55898.27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9023.61</v>
      </c>
      <c r="E76" s="95">
        <f>SUM('DOE25'!H130:H134)</f>
        <v>1200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481944.02999999997</v>
      </c>
      <c r="D77" s="130">
        <f>SUM(D71:D76)</f>
        <v>9023.61</v>
      </c>
      <c r="E77" s="130">
        <f>SUM(E71:E76)</f>
        <v>1200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11952695.029999999</v>
      </c>
      <c r="D80" s="130">
        <f>SUM(D78:D79)+D77+D69</f>
        <v>9023.61</v>
      </c>
      <c r="E80" s="130">
        <f>SUM(E78:E79)+E77+E69</f>
        <v>1200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297674.74</v>
      </c>
      <c r="D87" s="95">
        <f>SUM('DOE25'!G152:G160)</f>
        <v>365146.77</v>
      </c>
      <c r="E87" s="95">
        <f>SUM('DOE25'!H152:H160)</f>
        <v>2031360.53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34289.06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27757.08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359720.88</v>
      </c>
      <c r="D90" s="131">
        <f>SUM(D84:D89)</f>
        <v>365146.77</v>
      </c>
      <c r="E90" s="131">
        <f>SUM(E84:E89)</f>
        <v>2031360.53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16107538.17</v>
      </c>
      <c r="D103" s="86">
        <f>D62+D80+D90+D102</f>
        <v>562463.92999999993</v>
      </c>
      <c r="E103" s="86">
        <f>E62+E80+E90+E102</f>
        <v>2087360.53</v>
      </c>
      <c r="F103" s="86">
        <f>F62+F80+F90+F102</f>
        <v>0</v>
      </c>
      <c r="G103" s="86">
        <f>G62+G80+G102</f>
        <v>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7073825.0600000005</v>
      </c>
      <c r="D108" s="24" t="s">
        <v>289</v>
      </c>
      <c r="E108" s="95">
        <f>('DOE25'!L275)+('DOE25'!L294)+('DOE25'!L313)</f>
        <v>622646.1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3073342.6799999997</v>
      </c>
      <c r="D109" s="24" t="s">
        <v>289</v>
      </c>
      <c r="E109" s="95">
        <f>('DOE25'!L276)+('DOE25'!L295)+('DOE25'!L314)</f>
        <v>707551.71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659158.21000000008</v>
      </c>
      <c r="D110" s="24" t="s">
        <v>289</v>
      </c>
      <c r="E110" s="95">
        <f>('DOE25'!L277)+('DOE25'!L296)+('DOE25'!L315)</f>
        <v>66181.56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334742.02</v>
      </c>
      <c r="D111" s="24" t="s">
        <v>289</v>
      </c>
      <c r="E111" s="95">
        <f>+('DOE25'!L278)+('DOE25'!L297)+('DOE25'!L316)</f>
        <v>188479.75000000003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11141067.970000001</v>
      </c>
      <c r="D114" s="86">
        <f>SUM(D108:D113)</f>
        <v>0</v>
      </c>
      <c r="E114" s="86">
        <f>SUM(E108:E113)</f>
        <v>1584859.12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1177756.93</v>
      </c>
      <c r="D117" s="24" t="s">
        <v>289</v>
      </c>
      <c r="E117" s="95">
        <f>+('DOE25'!L280)+('DOE25'!L299)+('DOE25'!L318)</f>
        <v>343068.83999999997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309996.52</v>
      </c>
      <c r="D118" s="24" t="s">
        <v>289</v>
      </c>
      <c r="E118" s="95">
        <f>+('DOE25'!L281)+('DOE25'!L300)+('DOE25'!L319)</f>
        <v>159358.77000000002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586479.04</v>
      </c>
      <c r="D119" s="24" t="s">
        <v>289</v>
      </c>
      <c r="E119" s="95">
        <f>+('DOE25'!L282)+('DOE25'!L301)+('DOE25'!L320)</f>
        <v>480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839989.22000000009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221101.28000000003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1492795.97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337556.07</v>
      </c>
      <c r="D123" s="24" t="s">
        <v>289</v>
      </c>
      <c r="E123" s="95">
        <f>+('DOE25'!L286)+('DOE25'!L305)+('DOE25'!L324)</f>
        <v>6436.06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830.92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597047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4966505.95</v>
      </c>
      <c r="D127" s="86">
        <f>SUM(D117:D126)</f>
        <v>597047</v>
      </c>
      <c r="E127" s="86">
        <f>SUM(E117:E126)</f>
        <v>509343.67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10000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0</v>
      </c>
      <c r="D143" s="141">
        <f>SUM(D129:D142)</f>
        <v>0</v>
      </c>
      <c r="E143" s="141">
        <f>SUM(E129:E142)</f>
        <v>10000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16107573.920000002</v>
      </c>
      <c r="D144" s="86">
        <f>(D114+D127+D143)</f>
        <v>597047</v>
      </c>
      <c r="E144" s="86">
        <f>(E114+E127+E143)</f>
        <v>2104202.79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15</v>
      </c>
      <c r="D150" s="153">
        <f>'DOE25'!H489</f>
        <v>10</v>
      </c>
      <c r="E150" s="153">
        <f>'DOE25'!I489</f>
        <v>5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12/97</v>
      </c>
      <c r="C151" s="152" t="str">
        <f>'DOE25'!G490</f>
        <v>12/97</v>
      </c>
      <c r="D151" s="152" t="str">
        <f>'DOE25'!H490</f>
        <v>07/06</v>
      </c>
      <c r="E151" s="152" t="str">
        <f>'DOE25'!I490</f>
        <v>01/10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01/13</v>
      </c>
      <c r="C152" s="152" t="str">
        <f>'DOE25'!G491</f>
        <v>01/13</v>
      </c>
      <c r="D152" s="152" t="str">
        <f>'DOE25'!H491</f>
        <v>07/16</v>
      </c>
      <c r="E152" s="152" t="str">
        <f>'DOE25'!I491</f>
        <v>12/14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1500000</v>
      </c>
      <c r="C153" s="137">
        <f>'DOE25'!G492</f>
        <v>4500000</v>
      </c>
      <c r="D153" s="137">
        <f>'DOE25'!H492</f>
        <v>1713290</v>
      </c>
      <c r="E153" s="137">
        <f>'DOE25'!I492</f>
        <v>477185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4.7</v>
      </c>
      <c r="C154" s="137">
        <f>'DOE25'!G493</f>
        <v>4.7</v>
      </c>
      <c r="D154" s="137">
        <f>'DOE25'!H493</f>
        <v>4.3</v>
      </c>
      <c r="E154" s="137">
        <f>'DOE25'!I493</f>
        <v>2.99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200000</v>
      </c>
      <c r="C155" s="137">
        <f>'DOE25'!G494</f>
        <v>600000</v>
      </c>
      <c r="D155" s="137">
        <f>'DOE25'!H494</f>
        <v>1089993.77</v>
      </c>
      <c r="E155" s="137">
        <f>'DOE25'!I494</f>
        <v>372567.88</v>
      </c>
      <c r="F155" s="137">
        <f>'DOE25'!J494</f>
        <v>0</v>
      </c>
      <c r="G155" s="138">
        <f>SUM(B155:F155)</f>
        <v>2262561.65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100000</v>
      </c>
      <c r="C157" s="137">
        <f>'DOE25'!G496</f>
        <v>300000</v>
      </c>
      <c r="D157" s="137">
        <f>'DOE25'!H496</f>
        <v>162764.68</v>
      </c>
      <c r="E157" s="137">
        <f>'DOE25'!I496</f>
        <v>106820.28</v>
      </c>
      <c r="F157" s="137">
        <f>'DOE25'!J496</f>
        <v>0</v>
      </c>
      <c r="G157" s="138">
        <f t="shared" si="0"/>
        <v>669584.96</v>
      </c>
    </row>
    <row r="158" spans="1:9" x14ac:dyDescent="0.2">
      <c r="A158" s="22" t="s">
        <v>35</v>
      </c>
      <c r="B158" s="137">
        <f>'DOE25'!F497</f>
        <v>100000</v>
      </c>
      <c r="C158" s="137">
        <f>'DOE25'!G497</f>
        <v>300000</v>
      </c>
      <c r="D158" s="137">
        <f>'DOE25'!H497</f>
        <v>927229.09000000008</v>
      </c>
      <c r="E158" s="137">
        <f>'DOE25'!I497</f>
        <v>265747.59999999998</v>
      </c>
      <c r="F158" s="137">
        <f>'DOE25'!J497</f>
        <v>0</v>
      </c>
      <c r="G158" s="138">
        <f t="shared" si="0"/>
        <v>1592976.69</v>
      </c>
    </row>
    <row r="159" spans="1:9" x14ac:dyDescent="0.2">
      <c r="A159" s="22" t="s">
        <v>36</v>
      </c>
      <c r="B159" s="137">
        <f>'DOE25'!F498</f>
        <v>4950</v>
      </c>
      <c r="C159" s="137">
        <f>'DOE25'!G498</f>
        <v>14700</v>
      </c>
      <c r="D159" s="137">
        <f>'DOE25'!H498</f>
        <v>125333.75999999999</v>
      </c>
      <c r="E159" s="137">
        <f>'DOE25'!I498</f>
        <v>20059.759999999998</v>
      </c>
      <c r="F159" s="137">
        <f>'DOE25'!J498</f>
        <v>0</v>
      </c>
      <c r="G159" s="138">
        <f t="shared" si="0"/>
        <v>165043.52000000002</v>
      </c>
    </row>
    <row r="160" spans="1:9" x14ac:dyDescent="0.2">
      <c r="A160" s="22" t="s">
        <v>37</v>
      </c>
      <c r="B160" s="137">
        <f>'DOE25'!F499</f>
        <v>104950</v>
      </c>
      <c r="C160" s="137">
        <f>'DOE25'!G499</f>
        <v>314700</v>
      </c>
      <c r="D160" s="137">
        <f>'DOE25'!H499</f>
        <v>1052562.8500000001</v>
      </c>
      <c r="E160" s="137">
        <f>'DOE25'!I499</f>
        <v>285807.35999999999</v>
      </c>
      <c r="F160" s="137">
        <f>'DOE25'!J499</f>
        <v>0</v>
      </c>
      <c r="G160" s="138">
        <f t="shared" si="0"/>
        <v>1758020.21</v>
      </c>
    </row>
    <row r="161" spans="1:7" x14ac:dyDescent="0.2">
      <c r="A161" s="22" t="s">
        <v>38</v>
      </c>
      <c r="B161" s="137">
        <f>'DOE25'!F500</f>
        <v>100000</v>
      </c>
      <c r="C161" s="137">
        <f>'DOE25'!G500</f>
        <v>300000</v>
      </c>
      <c r="D161" s="137">
        <f>'DOE25'!H500</f>
        <v>169894.69</v>
      </c>
      <c r="E161" s="137">
        <f>'DOE25'!I500</f>
        <v>96578.9</v>
      </c>
      <c r="F161" s="137">
        <f>'DOE25'!J500</f>
        <v>0</v>
      </c>
      <c r="G161" s="138">
        <f t="shared" si="0"/>
        <v>666473.59</v>
      </c>
    </row>
    <row r="162" spans="1:7" x14ac:dyDescent="0.2">
      <c r="A162" s="22" t="s">
        <v>39</v>
      </c>
      <c r="B162" s="137">
        <f>'DOE25'!F501</f>
        <v>4950</v>
      </c>
      <c r="C162" s="137">
        <f>'DOE25'!G501</f>
        <v>14700</v>
      </c>
      <c r="D162" s="137">
        <f>'DOE25'!H501</f>
        <v>40617.879999999997</v>
      </c>
      <c r="E162" s="137">
        <f>'DOE25'!I501</f>
        <v>6767.9</v>
      </c>
      <c r="F162" s="137">
        <f>'DOE25'!J501</f>
        <v>0</v>
      </c>
      <c r="G162" s="138">
        <f t="shared" si="0"/>
        <v>67035.78</v>
      </c>
    </row>
    <row r="163" spans="1:7" x14ac:dyDescent="0.2">
      <c r="A163" s="22" t="s">
        <v>246</v>
      </c>
      <c r="B163" s="137">
        <f>'DOE25'!F502</f>
        <v>104950</v>
      </c>
      <c r="C163" s="137">
        <f>'DOE25'!G502</f>
        <v>314700</v>
      </c>
      <c r="D163" s="137">
        <f>'DOE25'!H502</f>
        <v>210512.57</v>
      </c>
      <c r="E163" s="137">
        <f>'DOE25'!I502</f>
        <v>103346.79999999999</v>
      </c>
      <c r="F163" s="137">
        <f>'DOE25'!J502</f>
        <v>0</v>
      </c>
      <c r="G163" s="138">
        <f t="shared" si="0"/>
        <v>733509.37000000011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Berlin Public Schools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12917</v>
      </c>
    </row>
    <row r="5" spans="1:4" x14ac:dyDescent="0.2">
      <c r="B5" t="s">
        <v>704</v>
      </c>
      <c r="C5" s="179">
        <f>IF('DOE25'!G664+'DOE25'!G669=0,0,ROUND('DOE25'!G671,0))</f>
        <v>13140</v>
      </c>
    </row>
    <row r="6" spans="1:4" x14ac:dyDescent="0.2">
      <c r="B6" t="s">
        <v>62</v>
      </c>
      <c r="C6" s="179">
        <f>IF('DOE25'!H664+'DOE25'!H669=0,0,ROUND('DOE25'!H671,0))</f>
        <v>14896</v>
      </c>
    </row>
    <row r="7" spans="1:4" x14ac:dyDescent="0.2">
      <c r="B7" t="s">
        <v>705</v>
      </c>
      <c r="C7" s="179">
        <f>IF('DOE25'!I664+'DOE25'!I669=0,0,ROUND('DOE25'!I671,0))</f>
        <v>13661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7696471</v>
      </c>
      <c r="D10" s="182">
        <f>ROUND((C10/$C$28)*100,1)</f>
        <v>41.3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3780894</v>
      </c>
      <c r="D11" s="182">
        <f>ROUND((C11/$C$28)*100,1)</f>
        <v>20.3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725340</v>
      </c>
      <c r="D12" s="182">
        <f>ROUND((C12/$C$28)*100,1)</f>
        <v>3.9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523222</v>
      </c>
      <c r="D13" s="182">
        <f>ROUND((C13/$C$28)*100,1)</f>
        <v>2.8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1520826</v>
      </c>
      <c r="D15" s="182">
        <f t="shared" ref="D15:D27" si="0">ROUND((C15/$C$28)*100,1)</f>
        <v>8.1999999999999993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469355</v>
      </c>
      <c r="D16" s="182">
        <f t="shared" si="0"/>
        <v>2.5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587790</v>
      </c>
      <c r="D17" s="182">
        <f t="shared" si="0"/>
        <v>3.2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839989</v>
      </c>
      <c r="D18" s="182">
        <f t="shared" si="0"/>
        <v>4.5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221101</v>
      </c>
      <c r="D19" s="182">
        <f t="shared" si="0"/>
        <v>1.2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1492796</v>
      </c>
      <c r="D20" s="182">
        <f t="shared" si="0"/>
        <v>8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343992</v>
      </c>
      <c r="D21" s="182">
        <f t="shared" si="0"/>
        <v>1.8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10000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408753.45</v>
      </c>
      <c r="D27" s="182">
        <f t="shared" si="0"/>
        <v>2.2000000000000002</v>
      </c>
    </row>
    <row r="28" spans="1:4" x14ac:dyDescent="0.2">
      <c r="B28" s="187" t="s">
        <v>723</v>
      </c>
      <c r="C28" s="180">
        <f>SUM(C10:C27)</f>
        <v>18620529.449999999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18620529.449999999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2316077</v>
      </c>
      <c r="D35" s="182">
        <f t="shared" ref="D35:D40" si="1">ROUND((C35/$C$41)*100,1)</f>
        <v>12.5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1533845.2599999998</v>
      </c>
      <c r="D36" s="182">
        <f t="shared" si="1"/>
        <v>8.3000000000000007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11470751</v>
      </c>
      <c r="D37" s="182">
        <f t="shared" si="1"/>
        <v>61.8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492168</v>
      </c>
      <c r="D38" s="182">
        <f t="shared" si="1"/>
        <v>2.7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2756228</v>
      </c>
      <c r="D39" s="182">
        <f t="shared" si="1"/>
        <v>14.8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18569069.259999998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selection sqref="A1:I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Berlin Public Schools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>
        <v>20</v>
      </c>
      <c r="B4" s="220">
        <v>4</v>
      </c>
      <c r="C4" s="280" t="s">
        <v>915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2012-06-19T17:07:30Z</cp:lastPrinted>
  <dcterms:created xsi:type="dcterms:W3CDTF">1997-12-04T19:04:30Z</dcterms:created>
  <dcterms:modified xsi:type="dcterms:W3CDTF">2012-11-21T14:16:36Z</dcterms:modified>
</cp:coreProperties>
</file>