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F109" i="1"/>
  <c r="H206" i="1"/>
  <c r="C20" i="12" l="1"/>
  <c r="B20" i="12"/>
  <c r="C21" i="12"/>
  <c r="B21" i="12"/>
  <c r="C37" i="12"/>
  <c r="B37" i="12"/>
  <c r="C10" i="12"/>
  <c r="B10" i="12"/>
  <c r="C12" i="12"/>
  <c r="B12" i="12"/>
  <c r="C11" i="12"/>
  <c r="B11" i="12"/>
  <c r="G12" i="1"/>
  <c r="G47" i="1"/>
  <c r="H22" i="1"/>
  <c r="H48" i="1"/>
  <c r="H24" i="1"/>
  <c r="F29" i="1"/>
  <c r="F17" i="1"/>
  <c r="J590" i="1"/>
  <c r="I590" i="1"/>
  <c r="H590" i="1"/>
  <c r="J592" i="1"/>
  <c r="J591" i="1"/>
  <c r="I591" i="1"/>
  <c r="H591" i="1"/>
  <c r="G581" i="1"/>
  <c r="H581" i="1"/>
  <c r="F581" i="1"/>
  <c r="J526" i="1"/>
  <c r="J525" i="1"/>
  <c r="I526" i="1"/>
  <c r="I525" i="1"/>
  <c r="H526" i="1"/>
  <c r="H525" i="1"/>
  <c r="G526" i="1"/>
  <c r="G525" i="1"/>
  <c r="F526" i="1"/>
  <c r="F525" i="1"/>
  <c r="J527" i="1"/>
  <c r="I527" i="1"/>
  <c r="H527" i="1"/>
  <c r="G527" i="1"/>
  <c r="F527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I567" i="1" l="1"/>
  <c r="I566" i="1"/>
  <c r="G498" i="1"/>
  <c r="G497" i="1"/>
  <c r="G494" i="1"/>
  <c r="F501" i="1"/>
  <c r="F498" i="1"/>
  <c r="F497" i="1"/>
  <c r="F494" i="1"/>
  <c r="F439" i="1"/>
  <c r="G439" i="1"/>
  <c r="H387" i="1"/>
  <c r="H396" i="1"/>
  <c r="G471" i="1"/>
  <c r="H366" i="1"/>
  <c r="G366" i="1"/>
  <c r="F366" i="1"/>
  <c r="G359" i="1"/>
  <c r="H471" i="1"/>
  <c r="H319" i="1"/>
  <c r="H300" i="1"/>
  <c r="H281" i="1"/>
  <c r="G297" i="1"/>
  <c r="F297" i="1"/>
  <c r="J314" i="1"/>
  <c r="I314" i="1"/>
  <c r="H314" i="1"/>
  <c r="J295" i="1"/>
  <c r="I295" i="1"/>
  <c r="H295" i="1"/>
  <c r="J276" i="1"/>
  <c r="I276" i="1"/>
  <c r="H276" i="1"/>
  <c r="G314" i="1"/>
  <c r="G295" i="1"/>
  <c r="G276" i="1"/>
  <c r="F314" i="1"/>
  <c r="F295" i="1"/>
  <c r="F276" i="1"/>
  <c r="G294" i="1"/>
  <c r="F294" i="1"/>
  <c r="G313" i="1"/>
  <c r="G275" i="1"/>
  <c r="F313" i="1"/>
  <c r="F275" i="1"/>
  <c r="G243" i="1"/>
  <c r="J243" i="1"/>
  <c r="I243" i="1"/>
  <c r="H243" i="1"/>
  <c r="F243" i="1"/>
  <c r="J225" i="1"/>
  <c r="I225" i="1"/>
  <c r="H225" i="1"/>
  <c r="G225" i="1"/>
  <c r="F225" i="1"/>
  <c r="J207" i="1"/>
  <c r="I207" i="1"/>
  <c r="H207" i="1"/>
  <c r="G207" i="1"/>
  <c r="F207" i="1"/>
  <c r="K243" i="1"/>
  <c r="K225" i="1"/>
  <c r="K207" i="1"/>
  <c r="H242" i="1"/>
  <c r="H224" i="1"/>
  <c r="G242" i="1"/>
  <c r="I242" i="1"/>
  <c r="I224" i="1"/>
  <c r="I206" i="1"/>
  <c r="F242" i="1"/>
  <c r="F224" i="1"/>
  <c r="F206" i="1"/>
  <c r="G224" i="1"/>
  <c r="G206" i="1"/>
  <c r="J242" i="1"/>
  <c r="J206" i="1"/>
  <c r="G223" i="1"/>
  <c r="G205" i="1"/>
  <c r="K240" i="1"/>
  <c r="K222" i="1"/>
  <c r="K204" i="1"/>
  <c r="J204" i="1"/>
  <c r="J240" i="1"/>
  <c r="I240" i="1"/>
  <c r="I222" i="1"/>
  <c r="I204" i="1"/>
  <c r="H240" i="1"/>
  <c r="H222" i="1"/>
  <c r="H204" i="1"/>
  <c r="F240" i="1"/>
  <c r="F222" i="1"/>
  <c r="F204" i="1"/>
  <c r="G203" i="1"/>
  <c r="H239" i="1"/>
  <c r="H221" i="1"/>
  <c r="H203" i="1"/>
  <c r="K239" i="1"/>
  <c r="K221" i="1"/>
  <c r="K203" i="1"/>
  <c r="J239" i="1"/>
  <c r="J221" i="1"/>
  <c r="J203" i="1"/>
  <c r="I239" i="1"/>
  <c r="I221" i="1"/>
  <c r="I203" i="1"/>
  <c r="G239" i="1"/>
  <c r="G221" i="1"/>
  <c r="F239" i="1"/>
  <c r="F221" i="1"/>
  <c r="F203" i="1"/>
  <c r="G202" i="1"/>
  <c r="G238" i="1"/>
  <c r="G220" i="1"/>
  <c r="J238" i="1"/>
  <c r="J220" i="1"/>
  <c r="J202" i="1"/>
  <c r="H238" i="1"/>
  <c r="H220" i="1"/>
  <c r="H202" i="1"/>
  <c r="F238" i="1"/>
  <c r="F220" i="1"/>
  <c r="F202" i="1"/>
  <c r="I220" i="1"/>
  <c r="I202" i="1"/>
  <c r="K238" i="1"/>
  <c r="I238" i="1"/>
  <c r="G219" i="1" l="1"/>
  <c r="G201" i="1"/>
  <c r="J219" i="1"/>
  <c r="J201" i="1"/>
  <c r="I219" i="1"/>
  <c r="I201" i="1"/>
  <c r="H219" i="1"/>
  <c r="H201" i="1"/>
  <c r="F219" i="1"/>
  <c r="F201" i="1"/>
  <c r="G237" i="1" l="1"/>
  <c r="J237" i="1"/>
  <c r="I237" i="1"/>
  <c r="H237" i="1"/>
  <c r="F237" i="1"/>
  <c r="K237" i="1"/>
  <c r="G235" i="1"/>
  <c r="F235" i="1"/>
  <c r="G217" i="1"/>
  <c r="F217" i="1"/>
  <c r="K235" i="1"/>
  <c r="J235" i="1"/>
  <c r="J217" i="1"/>
  <c r="I235" i="1"/>
  <c r="I217" i="1"/>
  <c r="I199" i="1"/>
  <c r="H235" i="1"/>
  <c r="H217" i="1"/>
  <c r="G199" i="1"/>
  <c r="K217" i="1"/>
  <c r="K199" i="1"/>
  <c r="F199" i="1"/>
  <c r="G215" i="1"/>
  <c r="G197" i="1"/>
  <c r="I215" i="1"/>
  <c r="I197" i="1"/>
  <c r="F215" i="1"/>
  <c r="F197" i="1"/>
  <c r="H197" i="1"/>
  <c r="H233" i="1"/>
  <c r="H215" i="1"/>
  <c r="G233" i="1"/>
  <c r="F233" i="1"/>
  <c r="K233" i="1"/>
  <c r="K215" i="1"/>
  <c r="K197" i="1"/>
  <c r="J233" i="1"/>
  <c r="J215" i="1"/>
  <c r="J197" i="1"/>
  <c r="I233" i="1"/>
  <c r="G196" i="1"/>
  <c r="G232" i="1"/>
  <c r="G214" i="1"/>
  <c r="F232" i="1"/>
  <c r="F214" i="1"/>
  <c r="F196" i="1"/>
  <c r="I232" i="1"/>
  <c r="I214" i="1"/>
  <c r="I196" i="1"/>
  <c r="H232" i="1"/>
  <c r="H214" i="1"/>
  <c r="H196" i="1"/>
  <c r="K232" i="1"/>
  <c r="K214" i="1"/>
  <c r="J232" i="1"/>
  <c r="J214" i="1"/>
  <c r="J196" i="1"/>
  <c r="J467" i="1" l="1"/>
  <c r="I467" i="1"/>
  <c r="H154" i="1"/>
  <c r="H158" i="1"/>
  <c r="G131" i="1"/>
  <c r="G96" i="1"/>
  <c r="F116" i="1"/>
  <c r="F97" i="1"/>
  <c r="F62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D39" i="13"/>
  <c r="F13" i="13"/>
  <c r="G13" i="13"/>
  <c r="L205" i="1"/>
  <c r="L223" i="1"/>
  <c r="F16" i="13"/>
  <c r="G16" i="13"/>
  <c r="L208" i="1"/>
  <c r="L226" i="1"/>
  <c r="L244" i="1"/>
  <c r="C124" i="2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F12" i="13"/>
  <c r="G12" i="13"/>
  <c r="L204" i="1"/>
  <c r="L222" i="1"/>
  <c r="F14" i="13"/>
  <c r="G14" i="13"/>
  <c r="L206" i="1"/>
  <c r="L224" i="1"/>
  <c r="F15" i="13"/>
  <c r="G15" i="13"/>
  <c r="L207" i="1"/>
  <c r="L225" i="1"/>
  <c r="F17" i="13"/>
  <c r="G17" i="13"/>
  <c r="L250" i="1"/>
  <c r="F18" i="13"/>
  <c r="G18" i="13"/>
  <c r="F19" i="13"/>
  <c r="G19" i="13"/>
  <c r="F29" i="13"/>
  <c r="G29" i="13"/>
  <c r="L357" i="1"/>
  <c r="L358" i="1"/>
  <c r="L359" i="1"/>
  <c r="I366" i="1"/>
  <c r="I368" i="1" s="1"/>
  <c r="H633" i="1" s="1"/>
  <c r="L275" i="1"/>
  <c r="L276" i="1"/>
  <c r="L277" i="1"/>
  <c r="L278" i="1"/>
  <c r="L280" i="1"/>
  <c r="L281" i="1"/>
  <c r="L282" i="1"/>
  <c r="L294" i="1"/>
  <c r="L295" i="1"/>
  <c r="L296" i="1"/>
  <c r="L297" i="1"/>
  <c r="L299" i="1"/>
  <c r="L300" i="1"/>
  <c r="L301" i="1"/>
  <c r="L313" i="1"/>
  <c r="L314" i="1"/>
  <c r="L315" i="1"/>
  <c r="L316" i="1"/>
  <c r="L318" i="1"/>
  <c r="L319" i="1"/>
  <c r="L333" i="1"/>
  <c r="L259" i="1"/>
  <c r="C130" i="2" s="1"/>
  <c r="L260" i="1"/>
  <c r="L340" i="1"/>
  <c r="E130" i="2" s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C40" i="10"/>
  <c r="F59" i="1"/>
  <c r="G59" i="1"/>
  <c r="H59" i="1"/>
  <c r="E55" i="2" s="1"/>
  <c r="I59" i="1"/>
  <c r="F78" i="1"/>
  <c r="C56" i="2" s="1"/>
  <c r="C61" i="2" s="1"/>
  <c r="F93" i="1"/>
  <c r="F110" i="1"/>
  <c r="G110" i="1"/>
  <c r="H78" i="1"/>
  <c r="E56" i="2" s="1"/>
  <c r="H93" i="1"/>
  <c r="E57" i="2" s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D84" i="2" s="1"/>
  <c r="G161" i="1"/>
  <c r="G168" i="1" s="1"/>
  <c r="H146" i="1"/>
  <c r="H161" i="1"/>
  <c r="I146" i="1"/>
  <c r="I161" i="1"/>
  <c r="L249" i="1"/>
  <c r="L331" i="1"/>
  <c r="L267" i="1"/>
  <c r="L268" i="1"/>
  <c r="L348" i="1"/>
  <c r="L349" i="1"/>
  <c r="I664" i="1"/>
  <c r="I669" i="1"/>
  <c r="I668" i="1"/>
  <c r="C42" i="10"/>
  <c r="C32" i="10"/>
  <c r="L377" i="1"/>
  <c r="L378" i="1"/>
  <c r="L379" i="1"/>
  <c r="B2" i="10"/>
  <c r="L343" i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D49" i="2" s="1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55" i="2"/>
  <c r="D55" i="2"/>
  <c r="F55" i="2"/>
  <c r="C57" i="2"/>
  <c r="C58" i="2"/>
  <c r="D58" i="2"/>
  <c r="E58" i="2"/>
  <c r="F58" i="2"/>
  <c r="F61" i="2" s="1"/>
  <c r="D59" i="2"/>
  <c r="D61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G80" i="2" s="1"/>
  <c r="C71" i="2"/>
  <c r="F71" i="2"/>
  <c r="C72" i="2"/>
  <c r="C77" i="2" s="1"/>
  <c r="F72" i="2"/>
  <c r="C73" i="2"/>
  <c r="C74" i="2"/>
  <c r="C75" i="2"/>
  <c r="E75" i="2"/>
  <c r="F75" i="2"/>
  <c r="C76" i="2"/>
  <c r="D76" i="2"/>
  <c r="D77" i="2" s="1"/>
  <c r="E76" i="2"/>
  <c r="F76" i="2"/>
  <c r="F77" i="2" s="1"/>
  <c r="F80" i="2" s="1"/>
  <c r="G76" i="2"/>
  <c r="G77" i="2" s="1"/>
  <c r="C78" i="2"/>
  <c r="D78" i="2"/>
  <c r="E78" i="2"/>
  <c r="C79" i="2"/>
  <c r="E79" i="2"/>
  <c r="C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10" i="2"/>
  <c r="C111" i="2"/>
  <c r="C112" i="2"/>
  <c r="E112" i="2"/>
  <c r="D114" i="2"/>
  <c r="F114" i="2"/>
  <c r="G114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G50" i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H603" i="1" s="1"/>
  <c r="K210" i="1"/>
  <c r="F228" i="1"/>
  <c r="G228" i="1"/>
  <c r="H228" i="1"/>
  <c r="I228" i="1"/>
  <c r="J228" i="1"/>
  <c r="I603" i="1" s="1"/>
  <c r="K228" i="1"/>
  <c r="F246" i="1"/>
  <c r="G246" i="1"/>
  <c r="J246" i="1"/>
  <c r="J603" i="1" s="1"/>
  <c r="K246" i="1"/>
  <c r="F255" i="1"/>
  <c r="G255" i="1"/>
  <c r="H255" i="1"/>
  <c r="J255" i="1"/>
  <c r="K255" i="1"/>
  <c r="F289" i="1"/>
  <c r="G289" i="1"/>
  <c r="H289" i="1"/>
  <c r="F308" i="1"/>
  <c r="G308" i="1"/>
  <c r="H308" i="1"/>
  <c r="F327" i="1"/>
  <c r="G327" i="1"/>
  <c r="F336" i="1"/>
  <c r="G336" i="1"/>
  <c r="H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F392" i="1"/>
  <c r="G392" i="1"/>
  <c r="H392" i="1"/>
  <c r="I392" i="1"/>
  <c r="F400" i="1"/>
  <c r="G400" i="1"/>
  <c r="H400" i="1"/>
  <c r="H407" i="1" s="1"/>
  <c r="H643" i="1" s="1"/>
  <c r="I400" i="1"/>
  <c r="I407" i="1" s="1"/>
  <c r="F406" i="1"/>
  <c r="G406" i="1"/>
  <c r="H406" i="1"/>
  <c r="I406" i="1"/>
  <c r="F407" i="1"/>
  <c r="H642" i="1" s="1"/>
  <c r="G407" i="1"/>
  <c r="H644" i="1" s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F451" i="1"/>
  <c r="G451" i="1"/>
  <c r="H451" i="1"/>
  <c r="H460" i="1" s="1"/>
  <c r="H640" i="1" s="1"/>
  <c r="I451" i="1"/>
  <c r="F459" i="1"/>
  <c r="F460" i="1" s="1"/>
  <c r="H638" i="1" s="1"/>
  <c r="G459" i="1"/>
  <c r="H459" i="1"/>
  <c r="G460" i="1"/>
  <c r="H639" i="1" s="1"/>
  <c r="I469" i="1"/>
  <c r="J469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7" i="1"/>
  <c r="G619" i="1"/>
  <c r="H629" i="1"/>
  <c r="H630" i="1"/>
  <c r="H632" i="1"/>
  <c r="G633" i="1"/>
  <c r="H634" i="1"/>
  <c r="H635" i="1"/>
  <c r="H636" i="1"/>
  <c r="H637" i="1"/>
  <c r="G638" i="1"/>
  <c r="G640" i="1"/>
  <c r="G642" i="1"/>
  <c r="G643" i="1"/>
  <c r="G644" i="1"/>
  <c r="G648" i="1"/>
  <c r="G649" i="1"/>
  <c r="G651" i="1"/>
  <c r="J651" i="1" s="1"/>
  <c r="H651" i="1"/>
  <c r="G652" i="1"/>
  <c r="H652" i="1"/>
  <c r="J652" i="1" s="1"/>
  <c r="G653" i="1"/>
  <c r="H653" i="1"/>
  <c r="H654" i="1"/>
  <c r="G159" i="2"/>
  <c r="G8" i="2"/>
  <c r="G161" i="2"/>
  <c r="D17" i="13"/>
  <c r="C17" i="13" s="1"/>
  <c r="G156" i="2"/>
  <c r="G102" i="2"/>
  <c r="E31" i="2"/>
  <c r="F662" i="1" l="1"/>
  <c r="A31" i="12"/>
  <c r="A40" i="12"/>
  <c r="E18" i="2"/>
  <c r="D18" i="2"/>
  <c r="D31" i="2"/>
  <c r="D50" i="2"/>
  <c r="G51" i="1"/>
  <c r="H617" i="1" s="1"/>
  <c r="E49" i="2"/>
  <c r="F49" i="2"/>
  <c r="C31" i="2"/>
  <c r="G622" i="1"/>
  <c r="I51" i="1"/>
  <c r="H619" i="1" s="1"/>
  <c r="J619" i="1" s="1"/>
  <c r="F31" i="2"/>
  <c r="F50" i="2" s="1"/>
  <c r="F18" i="2"/>
  <c r="H51" i="1"/>
  <c r="H618" i="1" s="1"/>
  <c r="J618" i="1" s="1"/>
  <c r="C18" i="2"/>
  <c r="L613" i="1"/>
  <c r="I662" i="1"/>
  <c r="L528" i="1"/>
  <c r="L543" i="1"/>
  <c r="F544" i="1"/>
  <c r="L523" i="1"/>
  <c r="L533" i="1"/>
  <c r="L538" i="1"/>
  <c r="G570" i="1"/>
  <c r="G163" i="2"/>
  <c r="G160" i="2"/>
  <c r="K502" i="1"/>
  <c r="K499" i="1"/>
  <c r="I459" i="1"/>
  <c r="I460" i="1" s="1"/>
  <c r="H641" i="1" s="1"/>
  <c r="I445" i="1"/>
  <c r="G641" i="1" s="1"/>
  <c r="K433" i="1"/>
  <c r="G133" i="2" s="1"/>
  <c r="G143" i="2" s="1"/>
  <c r="G144" i="2" s="1"/>
  <c r="H660" i="1"/>
  <c r="F660" i="1"/>
  <c r="D126" i="2"/>
  <c r="D127" i="2" s="1"/>
  <c r="D144" i="2" s="1"/>
  <c r="G660" i="1"/>
  <c r="I660" i="1" s="1"/>
  <c r="G634" i="1"/>
  <c r="J634" i="1" s="1"/>
  <c r="D29" i="13"/>
  <c r="C29" i="13" s="1"/>
  <c r="C26" i="10"/>
  <c r="C25" i="10"/>
  <c r="E143" i="2"/>
  <c r="L350" i="1"/>
  <c r="I381" i="1"/>
  <c r="E117" i="2"/>
  <c r="E108" i="2"/>
  <c r="E118" i="2"/>
  <c r="C15" i="10"/>
  <c r="C13" i="10"/>
  <c r="E111" i="2"/>
  <c r="H327" i="1"/>
  <c r="H337" i="1" s="1"/>
  <c r="H351" i="1" s="1"/>
  <c r="E109" i="2"/>
  <c r="C141" i="2"/>
  <c r="J649" i="1"/>
  <c r="J648" i="1"/>
  <c r="C117" i="2"/>
  <c r="D6" i="13"/>
  <c r="C6" i="13" s="1"/>
  <c r="C110" i="2"/>
  <c r="C12" i="10"/>
  <c r="L228" i="1"/>
  <c r="C109" i="2"/>
  <c r="A22" i="12"/>
  <c r="C11" i="10"/>
  <c r="K256" i="1"/>
  <c r="K270" i="1" s="1"/>
  <c r="L210" i="1"/>
  <c r="F256" i="1"/>
  <c r="F270" i="1" s="1"/>
  <c r="G256" i="1"/>
  <c r="G270" i="1" s="1"/>
  <c r="C108" i="2"/>
  <c r="C10" i="10"/>
  <c r="G61" i="2"/>
  <c r="F102" i="2"/>
  <c r="F103" i="2" s="1"/>
  <c r="J653" i="1"/>
  <c r="I191" i="1"/>
  <c r="F62" i="2"/>
  <c r="E102" i="2"/>
  <c r="E61" i="2"/>
  <c r="E62" i="2" s="1"/>
  <c r="E90" i="2"/>
  <c r="D90" i="2"/>
  <c r="D62" i="2"/>
  <c r="G111" i="1"/>
  <c r="C102" i="2"/>
  <c r="C90" i="2"/>
  <c r="C69" i="2"/>
  <c r="C62" i="2"/>
  <c r="C80" i="2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I475" i="1"/>
  <c r="H624" i="1" s="1"/>
  <c r="G337" i="1"/>
  <c r="G351" i="1" s="1"/>
  <c r="C23" i="10"/>
  <c r="F168" i="1"/>
  <c r="J139" i="1"/>
  <c r="F570" i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F337" i="1"/>
  <c r="F351" i="1" s="1"/>
  <c r="G191" i="1"/>
  <c r="G192" i="1" s="1"/>
  <c r="H191" i="1"/>
  <c r="F551" i="1"/>
  <c r="C35" i="10"/>
  <c r="D5" i="13"/>
  <c r="E16" i="13"/>
  <c r="J624" i="1"/>
  <c r="J654" i="1"/>
  <c r="J644" i="1"/>
  <c r="J192" i="1"/>
  <c r="L569" i="1"/>
  <c r="I570" i="1"/>
  <c r="I544" i="1"/>
  <c r="G36" i="2"/>
  <c r="G49" i="2" s="1"/>
  <c r="J50" i="1"/>
  <c r="L564" i="1"/>
  <c r="G544" i="1"/>
  <c r="H544" i="1"/>
  <c r="K550" i="1"/>
  <c r="L544" i="1" l="1"/>
  <c r="K551" i="1"/>
  <c r="L570" i="1"/>
  <c r="J641" i="1"/>
  <c r="G50" i="2"/>
  <c r="L433" i="1"/>
  <c r="G637" i="1" s="1"/>
  <c r="J637" i="1" s="1"/>
  <c r="L284" i="1"/>
  <c r="I289" i="1"/>
  <c r="L283" i="1"/>
  <c r="L320" i="1"/>
  <c r="L239" i="1"/>
  <c r="L242" i="1" s="1"/>
  <c r="J270" i="1"/>
  <c r="L238" i="1"/>
  <c r="C38" i="10"/>
  <c r="G627" i="1"/>
  <c r="G467" i="1"/>
  <c r="D103" i="2"/>
  <c r="H192" i="1"/>
  <c r="E103" i="2"/>
  <c r="C39" i="10"/>
  <c r="C103" i="2"/>
  <c r="C36" i="10"/>
  <c r="F192" i="1"/>
  <c r="C5" i="13"/>
  <c r="C22" i="13"/>
  <c r="C137" i="2"/>
  <c r="C140" i="2" s="1"/>
  <c r="C143" i="2" s="1"/>
  <c r="L407" i="1"/>
  <c r="C16" i="13"/>
  <c r="C25" i="13"/>
  <c r="H33" i="13"/>
  <c r="G630" i="1"/>
  <c r="J630" i="1" s="1"/>
  <c r="G645" i="1"/>
  <c r="G625" i="1"/>
  <c r="J51" i="1"/>
  <c r="H620" i="1" s="1"/>
  <c r="J620" i="1" s="1"/>
  <c r="L285" i="1" l="1"/>
  <c r="L286" i="1"/>
  <c r="L287" i="1"/>
  <c r="J289" i="1"/>
  <c r="K289" i="1"/>
  <c r="E119" i="2"/>
  <c r="L251" i="1"/>
  <c r="D18" i="13" s="1"/>
  <c r="C18" i="13" s="1"/>
  <c r="L253" i="1"/>
  <c r="D14" i="13"/>
  <c r="C14" i="13" s="1"/>
  <c r="C122" i="2"/>
  <c r="L240" i="1"/>
  <c r="C119" i="2"/>
  <c r="E8" i="13"/>
  <c r="L241" i="1"/>
  <c r="H246" i="1"/>
  <c r="H256" i="1" s="1"/>
  <c r="H270" i="1" s="1"/>
  <c r="C118" i="2"/>
  <c r="D7" i="13"/>
  <c r="C7" i="13" s="1"/>
  <c r="C16" i="10"/>
  <c r="G628" i="1"/>
  <c r="H467" i="1"/>
  <c r="G469" i="1"/>
  <c r="G475" i="1" s="1"/>
  <c r="H622" i="1" s="1"/>
  <c r="J622" i="1" s="1"/>
  <c r="H627" i="1"/>
  <c r="J627" i="1" s="1"/>
  <c r="C41" i="10"/>
  <c r="D39" i="10" s="1"/>
  <c r="G626" i="1"/>
  <c r="F467" i="1"/>
  <c r="G636" i="1"/>
  <c r="J636" i="1" s="1"/>
  <c r="H645" i="1"/>
  <c r="J645" i="1" s="1"/>
  <c r="J625" i="1"/>
  <c r="F661" i="1" l="1"/>
  <c r="L289" i="1"/>
  <c r="C120" i="2"/>
  <c r="D12" i="13"/>
  <c r="C12" i="13" s="1"/>
  <c r="E13" i="13"/>
  <c r="C13" i="13" s="1"/>
  <c r="C121" i="2"/>
  <c r="C8" i="13"/>
  <c r="H469" i="1"/>
  <c r="H475" i="1" s="1"/>
  <c r="H623" i="1" s="1"/>
  <c r="J623" i="1" s="1"/>
  <c r="H628" i="1"/>
  <c r="J628" i="1"/>
  <c r="D37" i="10"/>
  <c r="D38" i="10"/>
  <c r="D36" i="10"/>
  <c r="D40" i="10"/>
  <c r="D35" i="10"/>
  <c r="F469" i="1"/>
  <c r="H626" i="1"/>
  <c r="J626" i="1" s="1"/>
  <c r="I308" i="1" l="1"/>
  <c r="L302" i="1"/>
  <c r="F659" i="1"/>
  <c r="F663" i="1" s="1"/>
  <c r="L243" i="1"/>
  <c r="I246" i="1"/>
  <c r="E33" i="13"/>
  <c r="D35" i="13" s="1"/>
  <c r="D41" i="10"/>
  <c r="L303" i="1" l="1"/>
  <c r="J308" i="1"/>
  <c r="L304" i="1"/>
  <c r="L305" i="1"/>
  <c r="L306" i="1"/>
  <c r="F671" i="1"/>
  <c r="C4" i="10" s="1"/>
  <c r="F666" i="1"/>
  <c r="L252" i="1"/>
  <c r="I255" i="1"/>
  <c r="L255" i="1" s="1"/>
  <c r="C123" i="2"/>
  <c r="C127" i="2" s="1"/>
  <c r="D15" i="13"/>
  <c r="H646" i="1"/>
  <c r="J646" i="1" s="1"/>
  <c r="G650" i="1"/>
  <c r="J650" i="1" s="1"/>
  <c r="L246" i="1"/>
  <c r="L308" i="1" l="1"/>
  <c r="G661" i="1"/>
  <c r="K308" i="1"/>
  <c r="I256" i="1"/>
  <c r="I270" i="1" s="1"/>
  <c r="D19" i="13"/>
  <c r="C19" i="13" s="1"/>
  <c r="C113" i="2"/>
  <c r="C114" i="2" s="1"/>
  <c r="C144" i="2" s="1"/>
  <c r="L256" i="1"/>
  <c r="L270" i="1" s="1"/>
  <c r="C15" i="13"/>
  <c r="G631" i="1" l="1"/>
  <c r="F471" i="1"/>
  <c r="I327" i="1"/>
  <c r="L321" i="1"/>
  <c r="G659" i="1"/>
  <c r="G663" i="1" s="1"/>
  <c r="F473" i="1" l="1"/>
  <c r="F475" i="1" s="1"/>
  <c r="H631" i="1"/>
  <c r="J631" i="1" s="1"/>
  <c r="L322" i="1"/>
  <c r="J327" i="1"/>
  <c r="E120" i="2"/>
  <c r="C18" i="10"/>
  <c r="L324" i="1"/>
  <c r="L325" i="1"/>
  <c r="L323" i="1"/>
  <c r="G671" i="1"/>
  <c r="C5" i="10" s="1"/>
  <c r="G666" i="1"/>
  <c r="H621" i="1" l="1"/>
  <c r="F49" i="1"/>
  <c r="H661" i="1"/>
  <c r="I661" i="1" s="1"/>
  <c r="C21" i="10"/>
  <c r="E123" i="2"/>
  <c r="E122" i="2"/>
  <c r="C20" i="10"/>
  <c r="E127" i="2"/>
  <c r="L327" i="1"/>
  <c r="J337" i="1"/>
  <c r="F31" i="13"/>
  <c r="F33" i="13" s="1"/>
  <c r="E124" i="2"/>
  <c r="C17" i="10"/>
  <c r="E121" i="2"/>
  <c r="C19" i="10"/>
  <c r="K327" i="1"/>
  <c r="F50" i="1" l="1"/>
  <c r="C48" i="2"/>
  <c r="C49" i="2" s="1"/>
  <c r="C50" i="2" s="1"/>
  <c r="L373" i="1"/>
  <c r="J351" i="1"/>
  <c r="H647" i="1"/>
  <c r="J647" i="1" s="1"/>
  <c r="H659" i="1"/>
  <c r="G31" i="13"/>
  <c r="G33" i="13" s="1"/>
  <c r="K337" i="1"/>
  <c r="K351" i="1" s="1"/>
  <c r="G621" i="1" l="1"/>
  <c r="J621" i="1" s="1"/>
  <c r="F51" i="1"/>
  <c r="H616" i="1" s="1"/>
  <c r="J616" i="1" s="1"/>
  <c r="L374" i="1"/>
  <c r="J381" i="1"/>
  <c r="L375" i="1"/>
  <c r="L376" i="1"/>
  <c r="L334" i="1"/>
  <c r="L332" i="1"/>
  <c r="H663" i="1"/>
  <c r="I659" i="1"/>
  <c r="I663" i="1" s="1"/>
  <c r="L381" i="1" l="1"/>
  <c r="G635" i="1" s="1"/>
  <c r="J635" i="1" s="1"/>
  <c r="C29" i="10"/>
  <c r="F129" i="2"/>
  <c r="F143" i="2" s="1"/>
  <c r="F144" i="2" s="1"/>
  <c r="K381" i="1"/>
  <c r="I336" i="1"/>
  <c r="I337" i="1" s="1"/>
  <c r="I351" i="1" s="1"/>
  <c r="I671" i="1"/>
  <c r="C7" i="10" s="1"/>
  <c r="I666" i="1"/>
  <c r="H666" i="1"/>
  <c r="H671" i="1"/>
  <c r="C6" i="10" s="1"/>
  <c r="E113" i="2"/>
  <c r="E114" i="2" s="1"/>
  <c r="E144" i="2" s="1"/>
  <c r="C24" i="10"/>
  <c r="C28" i="10" s="1"/>
  <c r="D31" i="13"/>
  <c r="L336" i="1" l="1"/>
  <c r="L337" i="1" s="1"/>
  <c r="L351" i="1" s="1"/>
  <c r="G632" i="1" s="1"/>
  <c r="J632" i="1" s="1"/>
  <c r="D24" i="10"/>
  <c r="C30" i="10"/>
  <c r="D25" i="10"/>
  <c r="D26" i="10"/>
  <c r="D13" i="10"/>
  <c r="D21" i="10"/>
  <c r="D17" i="10"/>
  <c r="D22" i="10"/>
  <c r="D18" i="10"/>
  <c r="D19" i="10"/>
  <c r="D11" i="10"/>
  <c r="D15" i="10"/>
  <c r="D23" i="10"/>
  <c r="D16" i="10"/>
  <c r="D10" i="10"/>
  <c r="D27" i="10"/>
  <c r="D12" i="10"/>
  <c r="D20" i="10"/>
  <c r="C31" i="13"/>
  <c r="D33" i="13"/>
  <c r="D36" i="13" s="1"/>
  <c r="H655" i="1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<sst xmlns="http://schemas.openxmlformats.org/spreadsheetml/2006/main" count="3948" uniqueCount="915">
  <si>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</si>
  <si>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</si>
  <si>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</si>
  <si>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</si>
  <si>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</si>
  <si>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</si>
  <si>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</si>
  <si>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</si>
  <si>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</si>
  <si>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</si>
  <si>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</si>
  <si>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</si>
  <si>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</si>
  <si>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</si>
  <si>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</si>
  <si>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</si>
  <si>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</si>
  <si>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</si>
  <si>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</si>
  <si>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</si>
  <si>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</si>
  <si>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</si>
  <si>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</si>
  <si>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</si>
  <si>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</si>
  <si>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</si>
  <si>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</si>
  <si>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</si>
  <si>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</si>
  <si>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</si>
  <si>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</si>
  <si>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</si>
  <si>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</si>
  <si>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</si>
  <si>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</si>
  <si>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</si>
  <si>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</si>
  <si>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</si>
  <si>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</si>
  <si>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</si>
  <si>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</si>
  <si>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</si>
  <si>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</si>
  <si>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</si>
  <si>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</si>
  <si>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</si>
  <si>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</si>
  <si>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</si>
  <si>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</si>
  <si>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</si>
  <si>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</si>
  <si>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</si>
  <si>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</si>
  <si>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</si>
  <si>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</si>
  <si>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</si>
  <si>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</si>
  <si>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</si>
  <si>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</si>
  <si>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</si>
  <si>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</si>
  <si>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</si>
  <si>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</si>
  <si>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</si>
  <si>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</si>
  <si>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</si>
  <si>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</si>
  <si>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</si>
  <si>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</si>
  <si>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</si>
  <si>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</si>
  <si>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</si>
  <si>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</si>
  <si>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</si>
  <si>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</si>
  <si>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</si>
  <si>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</si>
  <si>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</si>
  <si>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</si>
  <si>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</si>
  <si>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</si>
  <si>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</si>
  <si>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</si>
  <si>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</si>
  <si>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</si>
  <si>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</si>
  <si>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</si>
  <si>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</si>
  <si>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</si>
  <si>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</si>
  <si>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</si>
  <si>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</si>
  <si>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</si>
  <si>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</si>
  <si>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</si>
  <si>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</si>
  <si>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</si>
  <si>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</si>
  <si>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</si>
  <si>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</si>
  <si>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</si>
  <si>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</si>
  <si>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</si>
  <si>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</si>
  <si>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</si>
  <si>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</si>
  <si>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</si>
  <si>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</si>
  <si>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</si>
  <si>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</si>
  <si>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</si>
  <si>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</si>
  <si>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</si>
  <si>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</si>
  <si>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</si>
  <si>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</si>
  <si>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</si>
  <si>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</si>
  <si>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</si>
  <si>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</si>
  <si>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</si>
  <si>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</si>
  <si>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</si>
  <si>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</si>
  <si>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</si>
  <si>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</si>
  <si>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</si>
  <si>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</si>
  <si>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</si>
  <si>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</si>
  <si>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</si>
  <si>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</si>
  <si>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</si>
  <si>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</si>
  <si>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</si>
  <si>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</si>
  <si>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</si>
  <si>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</si>
  <si>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</si>
  <si>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</si>
  <si>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</si>
  <si>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</si>
  <si>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</si>
  <si>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</si>
  <si>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</si>
  <si>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</si>
  <si>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</si>
  <si>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</si>
  <si>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</si>
  <si>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</si>
  <si>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</si>
  <si>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</si>
  <si>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</si>
  <si>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</si>
  <si>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</si>
  <si>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</si>
  <si>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</si>
  <si>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</si>
  <si>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</si>
  <si>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</si>
  <si>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</si>
  <si>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</si>
  <si>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</si>
  <si>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</si>
  <si>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</si>
  <si>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</si>
  <si>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</si>
  <si>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</si>
  <si>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</si>
  <si>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</si>
  <si>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</si>
  <si>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</si>
  <si>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</si>
  <si>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</si>
  <si>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</si>
  <si>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</si>
  <si>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</si>
  <si>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</si>
  <si>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</si>
  <si>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</si>
  <si>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</si>
  <si>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</si>
  <si>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</si>
  <si>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</si>
  <si>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</si>
  <si>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</si>
  <si>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</si>
  <si>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</si>
  <si>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</si>
  <si>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</si>
  <si>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</si>
  <si>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</si>
  <si>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</si>
  <si>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</si>
  <si>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</si>
  <si>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</si>
  <si>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</si>
  <si>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</si>
  <si>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</si>
  <si>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</si>
  <si>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</si>
  <si>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</si>
  <si>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</si>
  <si>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</si>
  <si>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</si>
  <si>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</si>
  <si>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</si>
  <si>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</si>
  <si>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</si>
  <si>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</si>
  <si>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</si>
  <si>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</si>
  <si>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</si>
  <si>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</si>
  <si>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</si>
  <si>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</si>
  <si>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</si>
  <si>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</si>
  <si>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</si>
  <si>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</si>
  <si>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</si>
  <si>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</si>
  <si>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</si>
  <si>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</si>
  <si>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</si>
  <si>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</si>
  <si>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</si>
  <si>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</si>
  <si>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</si>
  <si>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</si>
  <si>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</si>
  <si>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</si>
  <si>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</si>
  <si>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</si>
  <si>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</si>
  <si>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</si>
  <si>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</si>
  <si>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</si>
  <si>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</si>
  <si>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</si>
  <si>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</si>
  <si>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</si>
  <si>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</si>
  <si>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</si>
  <si>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</si>
  <si>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</si>
  <si>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</si>
  <si>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</si>
  <si>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</si>
  <si>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</si>
  <si>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</si>
  <si>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</si>
  <si>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</si>
  <si>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</si>
  <si>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</si>
  <si>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</si>
  <si>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</si>
  <si>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</si>
  <si>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</si>
  <si>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</si>
  <si>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</si>
  <si>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</si>
  <si>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</si>
  <si>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</si>
  <si>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</si>
  <si>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</si>
  <si>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</si>
  <si>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</si>
  <si>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</si>
  <si>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</si>
  <si>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</si>
  <si>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</si>
  <si>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</si>
  <si>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</si>
  <si>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</si>
  <si>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</si>
  <si>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</si>
  <si>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</si>
  <si>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</si>
  <si>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</si>
  <si>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</si>
  <si>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</si>
  <si>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</si>
  <si>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</si>
  <si>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</si>
  <si>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</si>
  <si>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</si>
  <si>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</si>
  <si>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</si>
  <si>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</si>
  <si>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</si>
  <si>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</si>
  <si>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</si>
  <si>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</si>
  <si>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</si>
  <si>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</si>
  <si>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</si>
  <si>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</si>
  <si>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</si>
  <si>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</si>
  <si>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</si>
  <si>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</si>
  <si>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</si>
  <si>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</si>
  <si>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</si>
  <si>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</si>
  <si>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</si>
  <si>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</si>
  <si>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</si>
  <si>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</si>
  <si>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</si>
  <si>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</si>
  <si>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</si>
  <si>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</si>
  <si>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</si>
  <si>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</si>
  <si>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</si>
  <si>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</si>
  <si>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</si>
  <si>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</si>
  <si>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</si>
  <si>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</si>
  <si>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</si>
  <si>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</si>
  <si>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</si>
  <si>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</si>
  <si>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</si>
  <si>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</si>
  <si>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</si>
  <si>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</si>
  <si>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</si>
  <si>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</si>
  <si>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</si>
  <si>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</si>
  <si>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</si>
  <si>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</si>
  <si>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</si>
  <si>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</si>
  <si>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</si>
  <si>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</si>
  <si>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</si>
  <si>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</si>
  <si>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</si>
  <si>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</si>
  <si>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</si>
  <si>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</si>
  <si>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</si>
  <si>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</si>
  <si>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</si>
  <si>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</si>
  <si>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</si>
  <si>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</si>
  <si>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</si>
  <si>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</si>
  <si>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</si>
  <si>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</si>
  <si>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</si>
  <si>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</si>
  <si>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</si>
  <si>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</si>
  <si>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</si>
  <si>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</si>
  <si>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</si>
  <si>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</si>
  <si>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</si>
  <si>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</si>
  <si>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</si>
  <si>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</si>
  <si>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</si>
  <si>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</si>
  <si>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</si>
  <si>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</si>
  <si>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</si>
  <si>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</si>
  <si>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</si>
  <si>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</si>
  <si>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</si>
  <si>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</si>
  <si>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</si>
  <si>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</si>
  <si>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</si>
  <si>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</si>
  <si>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</si>
  <si>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</si>
  <si>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</si>
  <si>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</si>
  <si>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</si>
  <si>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</si>
  <si>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</si>
  <si>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</si>
  <si>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</si>
  <si>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</si>
  <si>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</si>
  <si>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</si>
  <si>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</si>
  <si>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</si>
  <si>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</si>
  <si>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</si>
  <si>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</si>
  <si>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</si>
  <si>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</si>
  <si>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</si>
  <si>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</si>
  <si>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</si>
  <si>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</si>
  <si>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</si>
  <si>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</si>
  <si>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</si>
  <si>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</si>
  <si>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</si>
  <si>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</si>
  <si>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</si>
  <si>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</si>
  <si>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</si>
  <si>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</si>
  <si>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</si>
  <si>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</si>
  <si>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</si>
  <si>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</si>
  <si>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</si>
  <si>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</si>
  <si>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</si>
  <si>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</si>
  <si>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</si>
  <si>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</si>
  <si>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</si>
  <si>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</si>
  <si>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</si>
  <si>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</si>
  <si>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</si>
  <si>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</si>
  <si>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</si>
  <si>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</si>
  <si>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</si>
  <si>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</si>
  <si>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</si>
  <si>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</si>
  <si>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</si>
  <si>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</si>
  <si>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</si>
  <si>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</si>
  <si>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</si>
  <si>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</si>
  <si>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</si>
  <si>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</si>
  <si>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</si>
  <si>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</si>
  <si>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</si>
  <si>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</si>
  <si>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</si>
  <si>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</si>
  <si>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</si>
  <si>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</si>
  <si>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</si>
  <si>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</si>
  <si>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</si>
  <si>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</si>
  <si>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</si>
  <si>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</si>
  <si>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</si>
  <si>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</si>
  <si>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</si>
  <si>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</si>
  <si>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</si>
  <si>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</si>
  <si>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</si>
  <si>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</si>
  <si>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</si>
  <si>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</si>
  <si>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</si>
  <si>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</si>
  <si>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</si>
  <si>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</si>
  <si>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</si>
  <si>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</si>
  <si>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</si>
  <si>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</si>
  <si>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</si>
  <si>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</si>
  <si>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</si>
  <si>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</si>
  <si>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</si>
  <si>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</si>
  <si>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</si>
  <si>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</si>
  <si>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</si>
  <si>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</si>
  <si>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</si>
  <si>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</si>
  <si>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</si>
  <si>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</si>
  <si>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</si>
  <si>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</si>
  <si>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</si>
  <si>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</si>
  <si>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</si>
  <si>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</si>
  <si>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</si>
  <si>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</si>
  <si>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</si>
  <si>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</si>
  <si>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</si>
  <si>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</si>
  <si>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</si>
  <si>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</si>
  <si>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</si>
  <si>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</si>
  <si>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</si>
  <si>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</si>
  <si>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</si>
  <si>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</si>
  <si>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</si>
  <si>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</si>
  <si>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</si>
  <si>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</si>
  <si>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</si>
  <si>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</si>
  <si>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</si>
  <si>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</si>
  <si>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</si>
  <si>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</si>
  <si>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</si>
  <si>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</si>
  <si>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</si>
  <si>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</si>
  <si>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</si>
  <si>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</si>
  <si>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</si>
  <si>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</si>
  <si>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</si>
  <si>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</si>
  <si>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</si>
  <si>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</si>
  <si>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</si>
  <si>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</si>
  <si>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</si>
  <si>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</si>
  <si>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</si>
  <si>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</si>
  <si>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</si>
  <si>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</si>
  <si>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</si>
  <si>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</si>
  <si>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</si>
  <si>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</si>
  <si>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</si>
  <si>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</si>
  <si>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</si>
  <si>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</si>
  <si>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</si>
  <si>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</si>
  <si>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</si>
  <si>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</si>
  <si>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</si>
  <si>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</si>
  <si>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</si>
  <si>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</si>
  <si>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</si>
  <si>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</si>
  <si>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</si>
  <si>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</si>
  <si>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</si>
  <si>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</si>
  <si>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</si>
  <si>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</si>
  <si>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</si>
  <si>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</si>
  <si>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</si>
  <si>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</si>
  <si>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</si>
  <si>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</si>
  <si>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</si>
  <si>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</si>
  <si>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</si>
  <si>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</si>
  <si>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</si>
  <si>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</si>
  <si>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</si>
  <si>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</si>
  <si>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</si>
  <si>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</si>
  <si>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</si>
  <si>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</si>
  <si>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</si>
  <si>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</si>
  <si>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</si>
  <si>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</si>
  <si>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</si>
  <si>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</si>
  <si>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</si>
  <si>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</si>
  <si>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</si>
  <si>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</si>
  <si>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</si>
  <si>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</si>
  <si>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</si>
  <si>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</si>
  <si>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</si>
  <si>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</si>
  <si>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</si>
  <si>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</si>
  <si>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</si>
  <si>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</si>
  <si>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</si>
  <si>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</si>
  <si>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</si>
  <si>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</si>
  <si>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</si>
  <si>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</si>
  <si>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</si>
  <si>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</si>
  <si>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</si>
  <si>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</si>
  <si>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</si>
  <si>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</si>
  <si>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</si>
  <si>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</si>
  <si>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</si>
  <si>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</si>
  <si>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</si>
  <si>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</si>
  <si>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</si>
  <si>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</si>
  <si>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</si>
  <si>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</si>
  <si>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</si>
  <si>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</si>
  <si>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</si>
  <si>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</si>
  <si>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</si>
  <si>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</si>
  <si>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</si>
  <si>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</si>
  <si>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</si>
  <si>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</si>
  <si>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</si>
  <si>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</si>
  <si>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</si>
  <si>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</si>
  <si>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</si>
  <si>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</si>
  <si>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</si>
  <si>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</si>
  <si>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</si>
  <si>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</si>
  <si>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</si>
  <si>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</si>
  <si>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</si>
  <si>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</si>
  <si>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</si>
  <si>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</si>
  <si>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</si>
  <si>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</si>
  <si>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</si>
  <si>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</si>
  <si>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</si>
  <si>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</si>
  <si>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</si>
  <si>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</si>
  <si>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</si>
  <si>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</si>
  <si>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</si>
  <si>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</si>
  <si>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</si>
  <si>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</si>
  <si>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</si>
  <si>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</si>
  <si>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</si>
  <si>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</si>
  <si>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</si>
  <si>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</si>
  <si>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</si>
  <si>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</si>
  <si>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</si>
  <si>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</si>
  <si>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</si>
  <si>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</si>
  <si>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</si>
  <si>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</si>
  <si>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</si>
  <si>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</si>
  <si>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</si>
  <si>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</si>
  <si>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</si>
  <si>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</si>
  <si>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</si>
  <si>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</si>
  <si>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</si>
  <si>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</si>
  <si>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</si>
  <si>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</si>
  <si>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</si>
  <si>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</si>
  <si>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</si>
  <si>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</si>
  <si>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</si>
  <si>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</si>
  <si>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</si>
  <si>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</si>
  <si>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</si>
  <si>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</si>
  <si>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</si>
  <si>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</si>
  <si>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</si>
  <si>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</si>
  <si>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</si>
  <si>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</si>
  <si>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</si>
  <si>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</si>
  <si>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</si>
  <si>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</si>
  <si>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</si>
  <si>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</si>
  <si>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</si>
  <si>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</si>
  <si>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</si>
  <si>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</si>
  <si>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</si>
  <si>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</si>
  <si>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</si>
  <si>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</si>
  <si>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</si>
  <si>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</si>
  <si>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</si>
  <si>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</si>
  <si>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</si>
  <si>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</si>
  <si>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</si>
  <si>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</si>
  <si>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</si>
  <si>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</si>
  <si>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</si>
  <si>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</si>
  <si>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</si>
  <si>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</si>
  <si>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</si>
  <si>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</si>
  <si>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</si>
  <si>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</si>
  <si>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</si>
  <si>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</si>
  <si>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</si>
  <si>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</si>
  <si>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</si>
  <si>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</si>
  <si>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</si>
  <si>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</si>
  <si>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</si>
  <si>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</si>
  <si>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</si>
  <si>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</si>
  <si>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</si>
  <si>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</si>
  <si>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</si>
  <si>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</si>
  <si>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</si>
  <si>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</si>
  <si>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</si>
  <si>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</si>
  <si>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</si>
  <si>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</si>
  <si>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</si>
  <si>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</si>
  <si>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</si>
  <si>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</si>
  <si>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</si>
  <si>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</si>
  <si>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</si>
  <si>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</si>
  <si>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</si>
  <si>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</si>
  <si>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</si>
  <si>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</si>
  <si>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</si>
  <si>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</si>
  <si>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</si>
  <si>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</si>
  <si>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</si>
  <si>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</si>
  <si>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</si>
  <si>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</si>
  <si>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</si>
  <si>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</si>
  <si>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</si>
  <si>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</si>
  <si>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</si>
  <si>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</si>
  <si>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</si>
  <si>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</si>
  <si>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</si>
  <si>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</si>
  <si>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</si>
  <si>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</si>
  <si>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</si>
  <si>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</si>
  <si>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</si>
  <si>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</si>
  <si>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</si>
  <si>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</si>
  <si>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</si>
  <si>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</si>
  <si>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</si>
  <si>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</si>
  <si>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</si>
  <si>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</si>
  <si>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</si>
  <si>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</si>
  <si>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</si>
  <si>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</si>
  <si>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</si>
  <si>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</si>
  <si>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</si>
  <si>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</si>
  <si>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</si>
  <si>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</si>
  <si>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</si>
  <si>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</si>
  <si>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</si>
  <si>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</si>
  <si>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</si>
  <si>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</si>
  <si>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</si>
  <si>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</si>
  <si>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</si>
  <si>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</si>
  <si>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</si>
  <si>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</si>
  <si>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</si>
  <si>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</si>
  <si>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</si>
  <si>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</si>
  <si>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</si>
  <si>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</si>
  <si>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</si>
  <si>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</si>
  <si>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</si>
  <si>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</si>
  <si>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</si>
  <si>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</si>
  <si>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</si>
  <si>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</si>
  <si>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</si>
  <si>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</si>
  <si>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</si>
  <si>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</si>
  <si>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</si>
  <si>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</si>
  <si>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</si>
  <si>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</si>
  <si>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</si>
  <si>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</si>
  <si>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</si>
  <si>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</si>
  <si>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</si>
  <si>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</si>
  <si>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</si>
  <si>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</si>
  <si>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</si>
  <si>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</si>
  <si>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</si>
  <si>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</si>
  <si>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</si>
  <si>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</si>
  <si>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</si>
  <si>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</si>
  <si>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</si>
  <si>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</si>
  <si>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</si>
  <si>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</si>
  <si>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</si>
  <si>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</si>
  <si>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</si>
  <si>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</si>
  <si>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</si>
  <si>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</si>
  <si>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</si>
  <si>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</si>
  <si>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</si>
  <si>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</si>
  <si>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</si>
  <si>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</si>
  <si>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</si>
  <si>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</si>
  <si>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</si>
  <si>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</si>
  <si>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</si>
  <si>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</si>
  <si>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</si>
  <si>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</si>
  <si>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</si>
  <si>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</si>
  <si>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</si>
  <si>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</si>
  <si>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</si>
  <si>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</si>
  <si>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</si>
  <si>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</si>
  <si>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</si>
  <si>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</si>
  <si>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</si>
  <si>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</si>
  <si>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</si>
  <si>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</si>
  <si>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</si>
  <si>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</si>
  <si>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</si>
  <si>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</si>
  <si>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</si>
  <si>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</si>
  <si>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BOW SCHOOL DISTRICT</t>
  </si>
  <si>
    <t>Received $7,424 in Charter School Special Education Aid - Placed on this Line</t>
  </si>
  <si>
    <t>8/15/1996</t>
  </si>
  <si>
    <t>8/20/2016</t>
  </si>
  <si>
    <t>7/1/2006</t>
  </si>
  <si>
    <t>7/1/2026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</si>
</sst>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57</v>
      </c>
      <c r="C2" s="21">
        <v>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842789.73</v>
      </c>
      <c r="G9" s="18">
        <v>-3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1227663.3400000001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f>102898.26-2479.31</f>
        <v>100418.95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26817.53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2482.31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16907.35+80671.81</f>
        <v>97579.16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940368.89</v>
      </c>
      <c r="G19" s="41">
        <f>SUM(G9:G18)</f>
        <v>102898.26</v>
      </c>
      <c r="H19" s="41">
        <f>SUM(H9:H18)</f>
        <v>26817.53</v>
      </c>
      <c r="I19" s="41">
        <f>SUM(I9:I18)</f>
        <v>0</v>
      </c>
      <c r="J19" s="41">
        <f>SUM(J9:J18)</f>
        <v>1227663.3400000001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922567.02-813054.78-1288.86</f>
        <v>108223.37999999999</v>
      </c>
      <c r="G22" s="18">
        <v>0</v>
      </c>
      <c r="H22" s="18">
        <f>26817.53-7464.87</f>
        <v>19352.66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340216.93</v>
      </c>
      <c r="G24" s="18">
        <v>0</v>
      </c>
      <c r="H24" s="18">
        <f>26220.18-18755.61</f>
        <v>7464.57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112519.72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13199.62+9281.37</f>
        <v>22480.99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583441.02</v>
      </c>
      <c r="G32" s="41">
        <f>SUM(G22:G31)</f>
        <v>0</v>
      </c>
      <c r="H32" s="41">
        <f>SUM(H22:H31)</f>
        <v>26817.23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f>G475</f>
        <v>102898.26000000001</v>
      </c>
      <c r="H47" s="18"/>
      <c r="I47" s="18">
        <v>0</v>
      </c>
      <c r="J47" s="13">
        <f>SUM(I458)</f>
        <v>1227663.3399999999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f>H475</f>
        <v>0.30000000004656613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F475</f>
        <v>356927.87000000104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356927.87000000104</v>
      </c>
      <c r="G50" s="41">
        <f>SUM(G35:G49)</f>
        <v>102898.26000000001</v>
      </c>
      <c r="H50" s="41">
        <f>SUM(H35:H49)</f>
        <v>0.30000000004656613</v>
      </c>
      <c r="I50" s="41">
        <f>SUM(I35:I49)</f>
        <v>0</v>
      </c>
      <c r="J50" s="41">
        <f>SUM(J35:J49)</f>
        <v>1227663.3399999999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940368.89000000106</v>
      </c>
      <c r="G51" s="41">
        <f>G50+G32</f>
        <v>102898.26000000001</v>
      </c>
      <c r="H51" s="41">
        <f>H50+H32</f>
        <v>26817.530000000046</v>
      </c>
      <c r="I51" s="41">
        <f>I50+I32</f>
        <v>0</v>
      </c>
      <c r="J51" s="41">
        <f>J50+J32</f>
        <v>1227663.3399999999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16108390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16108390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105522.61-58100+11010</f>
        <v>58432.61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1950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58100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118482.61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2372.4299999999998</v>
      </c>
      <c r="G95" s="18">
        <v>0.2</v>
      </c>
      <c r="H95" s="18">
        <v>0</v>
      </c>
      <c r="I95" s="18">
        <v>0</v>
      </c>
      <c r="J95" s="18">
        <v>42981.57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88738.15+179935.25+213395.08+4517.13</f>
        <v>486585.61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13485+9160</f>
        <v>22645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910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2805.11+459984.78+135064.74+1288.86</f>
        <v>599143.49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625070.92000000004</v>
      </c>
      <c r="G110" s="41">
        <f>SUM(G95:G109)</f>
        <v>486585.81</v>
      </c>
      <c r="H110" s="41">
        <f>SUM(H95:H109)</f>
        <v>0</v>
      </c>
      <c r="I110" s="41">
        <f>SUM(I95:I109)</f>
        <v>0</v>
      </c>
      <c r="J110" s="41">
        <f>SUM(J95:J109)</f>
        <v>42981.57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16851943.530000001</v>
      </c>
      <c r="G111" s="41">
        <f>G59+G110</f>
        <v>486585.81</v>
      </c>
      <c r="H111" s="41">
        <f>H59+H78+H93+H110</f>
        <v>0</v>
      </c>
      <c r="I111" s="41">
        <f>I59+I110</f>
        <v>0</v>
      </c>
      <c r="J111" s="41">
        <f>J59+J110</f>
        <v>42981.57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4089550-3533.83-7424</f>
        <v>4078592.17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2257220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3533.83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7424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6346770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306506.84000000003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115346.13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3887.18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4554.52+26937.86</f>
        <v>31492.38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425740.15</v>
      </c>
      <c r="G135" s="41">
        <f>SUM(G122:G134)</f>
        <v>31492.38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6772510.1500000004</v>
      </c>
      <c r="G139" s="41">
        <f>G120+SUM(G135:G136)</f>
        <v>31492.38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-0.01+25046.81+135504.7+22281.87</f>
        <v>182833.37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45756.61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f>93954.13+271523.39</f>
        <v>365477.52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83221.06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83221.06</v>
      </c>
      <c r="G161" s="41">
        <f>SUM(G149:G160)</f>
        <v>45756.61</v>
      </c>
      <c r="H161" s="41">
        <f>SUM(H149:H160)</f>
        <v>548310.89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83221.06</v>
      </c>
      <c r="G168" s="41">
        <f>G146+G161+SUM(G162:G167)</f>
        <v>45756.61</v>
      </c>
      <c r="H168" s="41">
        <f>H146+H161+SUM(H162:H167)</f>
        <v>548310.89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23707674.739999998</v>
      </c>
      <c r="G192" s="47">
        <f>G111+G139+G168+G191</f>
        <v>563834.80000000005</v>
      </c>
      <c r="H192" s="47">
        <f>H111+H139+H168+H191</f>
        <v>548310.89</v>
      </c>
      <c r="I192" s="47">
        <f>I111+I139+I168+I191</f>
        <v>0</v>
      </c>
      <c r="J192" s="47">
        <f>J111+J139+J191</f>
        <v>42981.57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1806520.97+20516.14+30581.91</f>
        <v>1857619.0199999998</v>
      </c>
      <c r="G196" s="18">
        <f>19500+879829.07+0.01</f>
        <v>899329.08</v>
      </c>
      <c r="H196" s="18">
        <f>103.5+13093.91+3365.99</f>
        <v>16563.400000000001</v>
      </c>
      <c r="I196" s="18">
        <f>3232.44+499.5+1999.68+11982.76+358.23+128.85+2681.01+2280.69+2120.38+24150.97+716.74+19607.76+5553.81</f>
        <v>75312.819999999992</v>
      </c>
      <c r="J196" s="18">
        <f>1069.74+1237.79+1995</f>
        <v>4302.53</v>
      </c>
      <c r="K196" s="18">
        <v>0</v>
      </c>
      <c r="L196" s="19">
        <f>SUM(F196:K196)</f>
        <v>2853126.8499999992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412293.09+302996.04+11685.52+9782.97+27463.71+3000+0.01+61492</f>
        <v>828713.34</v>
      </c>
      <c r="G197" s="18">
        <f>528.9+392944.67-10000+19422.03</f>
        <v>402895.6</v>
      </c>
      <c r="H197" s="18">
        <f>1587.55+125182.99+232022.18+12984.69</f>
        <v>371777.41</v>
      </c>
      <c r="I197" s="18">
        <f>1027.79+3479.48+2376+1643.45+496.89</f>
        <v>9023.61</v>
      </c>
      <c r="J197" s="18">
        <f>1659.01</f>
        <v>1659.01</v>
      </c>
      <c r="K197" s="18">
        <f>449.2</f>
        <v>449.2</v>
      </c>
      <c r="L197" s="19">
        <f>SUM(F197:K197)</f>
        <v>1614518.17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9126</f>
        <v>9126</v>
      </c>
      <c r="G199" s="18">
        <f>1544.78</f>
        <v>1544.78</v>
      </c>
      <c r="H199" s="18">
        <v>0</v>
      </c>
      <c r="I199" s="18">
        <f>302.05</f>
        <v>302.05</v>
      </c>
      <c r="J199" s="18">
        <v>0</v>
      </c>
      <c r="K199" s="18">
        <f>1325</f>
        <v>1325</v>
      </c>
      <c r="L199" s="19">
        <f>SUM(F199:K199)</f>
        <v>12297.83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55764.75+51130.9+6606.35+22627.24+146161.31+82187.66+110411.81</f>
        <v>474890.01999999996</v>
      </c>
      <c r="G201" s="18">
        <f>7862.17+22547.35+30078.54+0.02+15443.8+0.01+97707.42+39634.25</f>
        <v>213273.56</v>
      </c>
      <c r="H201" s="18">
        <f>8333.33+150+487.7+403.42+35004.35+350</f>
        <v>44728.800000000003</v>
      </c>
      <c r="I201" s="18">
        <f>410.2+1117.82+288.85+854.48</f>
        <v>2671.35</v>
      </c>
      <c r="J201" s="18">
        <f>74.55+2318.97</f>
        <v>2393.52</v>
      </c>
      <c r="K201" s="18">
        <v>0</v>
      </c>
      <c r="L201" s="19">
        <f t="shared" ref="L201:L207" si="0">SUM(F201:K201)</f>
        <v>737957.25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3000+68387+12304.12+21879.1</f>
        <v>105570.22</v>
      </c>
      <c r="G202" s="18">
        <f>506.86+40450.15+13814.72</f>
        <v>54771.73</v>
      </c>
      <c r="H202" s="18">
        <f>2186+10025.69+6573.9+6980.71+195+2042.19+4790.35+14983.86</f>
        <v>47777.7</v>
      </c>
      <c r="I202" s="18">
        <f>650.59+397.04+6727.96+3315.64+90.29</f>
        <v>11181.52</v>
      </c>
      <c r="J202" s="18">
        <f>214.15+58328.52</f>
        <v>58542.67</v>
      </c>
      <c r="K202" s="18">
        <v>0</v>
      </c>
      <c r="L202" s="19">
        <f t="shared" si="0"/>
        <v>277843.84000000003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4966.76+333.33+66.67+43121.97</f>
        <v>48488.73</v>
      </c>
      <c r="G203" s="18">
        <f>379.96+25.5+23096.63+0.03</f>
        <v>23502.12</v>
      </c>
      <c r="H203" s="18">
        <f>8867.39+13621.48+6139.4+4583.33</f>
        <v>33211.599999999999</v>
      </c>
      <c r="I203" s="18">
        <f>1595.66+2034.14</f>
        <v>3629.8</v>
      </c>
      <c r="J203" s="18">
        <f>128.7</f>
        <v>128.69999999999999</v>
      </c>
      <c r="K203" s="18">
        <f>26000+1824.83+642.39</f>
        <v>28467.22</v>
      </c>
      <c r="L203" s="19">
        <f t="shared" si="0"/>
        <v>137428.17000000001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95610.5+68683.95+77725</f>
        <v>242019.45</v>
      </c>
      <c r="G204" s="18">
        <v>88461.91</v>
      </c>
      <c r="H204" s="18">
        <f>2363.28+2116.74+2660.98+2701+1954.32+245.47</f>
        <v>12041.789999999999</v>
      </c>
      <c r="I204" s="18">
        <f>463.57</f>
        <v>463.57</v>
      </c>
      <c r="J204" s="18">
        <f>471.95</f>
        <v>471.95</v>
      </c>
      <c r="K204" s="18">
        <f>1643</f>
        <v>1643</v>
      </c>
      <c r="L204" s="19">
        <f t="shared" si="0"/>
        <v>345101.67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42510</v>
      </c>
      <c r="G205" s="18">
        <f>13104.8-0.01</f>
        <v>13104.789999999999</v>
      </c>
      <c r="H205" s="18">
        <v>3203.77</v>
      </c>
      <c r="I205" s="18">
        <v>0</v>
      </c>
      <c r="J205" s="18">
        <v>168.29</v>
      </c>
      <c r="K205" s="18">
        <v>134.66999999999999</v>
      </c>
      <c r="L205" s="19">
        <f t="shared" si="0"/>
        <v>59121.52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101740.34+1087.83+18440.93</f>
        <v>121269.1</v>
      </c>
      <c r="G206" s="18">
        <f>41.67+53888.99+14465.38</f>
        <v>68396.039999999994</v>
      </c>
      <c r="H206" s="18">
        <f>14195.47+5628.4+1847.36+8774.48+865.15+564+49300.6+8387.59+11964.09+246.52+5798+13544.08+675.12-17801.87</f>
        <v>103988.98999999999</v>
      </c>
      <c r="I206" s="18">
        <f>12325.74+17236.1+67188.87+23739.38+320.78+422.69</f>
        <v>121233.56</v>
      </c>
      <c r="J206" s="18">
        <f>2611.66+649.44</f>
        <v>3261.1</v>
      </c>
      <c r="K206" s="18">
        <v>0</v>
      </c>
      <c r="L206" s="19">
        <f t="shared" si="0"/>
        <v>418148.79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115727.75+19838.09+674.05+33866.04</f>
        <v>170105.93</v>
      </c>
      <c r="G207" s="18">
        <f>33322.75+1983.19+65.18+16979.71</f>
        <v>52350.83</v>
      </c>
      <c r="H207" s="18">
        <f>678.26+40817.85+28573.05</f>
        <v>70069.16</v>
      </c>
      <c r="I207" s="18">
        <f>1631.67+66964.23</f>
        <v>68595.899999999994</v>
      </c>
      <c r="J207" s="18">
        <f>56617.12</f>
        <v>56617.120000000003</v>
      </c>
      <c r="K207" s="18">
        <f>2878.6</f>
        <v>2878.6</v>
      </c>
      <c r="L207" s="19">
        <f t="shared" si="0"/>
        <v>420617.54000000004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3900311.8100000005</v>
      </c>
      <c r="G210" s="41">
        <f t="shared" si="1"/>
        <v>1817630.4400000002</v>
      </c>
      <c r="H210" s="41">
        <f t="shared" si="1"/>
        <v>703362.62</v>
      </c>
      <c r="I210" s="41">
        <f t="shared" si="1"/>
        <v>292414.18000000005</v>
      </c>
      <c r="J210" s="41">
        <f t="shared" si="1"/>
        <v>127544.88999999998</v>
      </c>
      <c r="K210" s="41">
        <f t="shared" si="1"/>
        <v>34897.69</v>
      </c>
      <c r="L210" s="41">
        <f t="shared" si="1"/>
        <v>6876161.629999999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1923018.16+37139.19+32810.15</f>
        <v>1992967.4999999998</v>
      </c>
      <c r="G214" s="18">
        <f>19500+943934.53</f>
        <v>963434.53</v>
      </c>
      <c r="H214" s="18">
        <f>103.5+12206.25+6256.27</f>
        <v>18566.02</v>
      </c>
      <c r="I214" s="18">
        <f>2559.2+404.9+2019.49+339.11+894.7+3507+4534.04+643.96+1247.24+27.95+3050.12+6855.85+163.48+740.42+279.62+12077.61+1084.31+2770.57+8318.22</f>
        <v>51517.789999999994</v>
      </c>
      <c r="J214" s="18">
        <f>364.67+2924.59+1608.3+342.37</f>
        <v>5239.93</v>
      </c>
      <c r="K214" s="18">
        <f>791</f>
        <v>791</v>
      </c>
      <c r="L214" s="19">
        <f>SUM(F214:K214)</f>
        <v>3032516.77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330825.91+353300.54+11685.52+9363.61+34267.97+63442</f>
        <v>802885.54999999993</v>
      </c>
      <c r="G215" s="18">
        <f>528.9+366529.27+20037.94</f>
        <v>387096.11000000004</v>
      </c>
      <c r="H215" s="18">
        <f>1980.87+156197.62+157037.58</f>
        <v>315216.06999999995</v>
      </c>
      <c r="I215" s="18">
        <f>1282.43+3246.54+806.66+557.35</f>
        <v>5892.9800000000005</v>
      </c>
      <c r="J215" s="18">
        <f>2070.04+6933</f>
        <v>9003.0400000000009</v>
      </c>
      <c r="K215" s="18">
        <f>560.49</f>
        <v>560.49</v>
      </c>
      <c r="L215" s="19">
        <f>SUM(F215:K215)</f>
        <v>1520654.24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24001+17110</f>
        <v>41111</v>
      </c>
      <c r="G217" s="18">
        <f>4062.71+4406</f>
        <v>8468.7099999999991</v>
      </c>
      <c r="H217" s="18">
        <f>4000</f>
        <v>4000</v>
      </c>
      <c r="I217" s="18">
        <f>2326.06+1331</f>
        <v>3657.06</v>
      </c>
      <c r="J217" s="18">
        <f>1559.55</f>
        <v>1559.55</v>
      </c>
      <c r="K217" s="18">
        <f>2135.5</f>
        <v>2135.5</v>
      </c>
      <c r="L217" s="19">
        <f>SUM(F217:K217)</f>
        <v>60931.82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88466.11+51380.9+6534.45+28233.24+28702.99+11055.7+55205.9</f>
        <v>269579.29000000004</v>
      </c>
      <c r="G219" s="18">
        <f>7862.17+35769.49+30171.32+19270.07+17012.2+19817.12</f>
        <v>129902.36999999998</v>
      </c>
      <c r="H219" s="18">
        <f>8333.33+608.52+66.17+17502.18+175</f>
        <v>26685.200000000001</v>
      </c>
      <c r="I219" s="18">
        <f>246.95+944.79+47.37+427.24</f>
        <v>1666.35</v>
      </c>
      <c r="J219" s="18">
        <f>12.23+1159.49</f>
        <v>1171.72</v>
      </c>
      <c r="K219" s="18">
        <v>0</v>
      </c>
      <c r="L219" s="19">
        <f t="shared" ref="L219:L225" si="2">SUM(F219:K219)</f>
        <v>429004.93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3000+56872+7909.28+24862.61</f>
        <v>92643.89</v>
      </c>
      <c r="G220" s="18">
        <f>506.86+32474.61+15698.55</f>
        <v>48680.020000000004</v>
      </c>
      <c r="H220" s="18">
        <f>13134.41+2521.5+5115.13+600+2548.15+5977.18+18696.17</f>
        <v>48592.54</v>
      </c>
      <c r="I220" s="18">
        <f>315.56+837.98+6044.53+2238.74+701.6</f>
        <v>10138.41</v>
      </c>
      <c r="J220" s="18">
        <f>328.39+72779.67</f>
        <v>73108.06</v>
      </c>
      <c r="K220" s="18">
        <v>0</v>
      </c>
      <c r="L220" s="19">
        <f t="shared" si="2"/>
        <v>273162.92000000004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4966.76+333.33+66.67+53805.63</f>
        <v>59172.39</v>
      </c>
      <c r="G221" s="18">
        <f>379.96+25.5+28818.92</f>
        <v>29224.379999999997</v>
      </c>
      <c r="H221" s="18">
        <f>8867.39+13621.48+7660.47+4583.33</f>
        <v>34732.67</v>
      </c>
      <c r="I221" s="18">
        <f>1595.66+2538.11</f>
        <v>4133.7700000000004</v>
      </c>
      <c r="J221" s="18">
        <f>160.58</f>
        <v>160.58000000000001</v>
      </c>
      <c r="K221" s="18">
        <f>23970.21+1824.83+801.54</f>
        <v>26596.58</v>
      </c>
      <c r="L221" s="19">
        <f t="shared" si="2"/>
        <v>154020.37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95298+72853.2+77178</f>
        <v>245329.2</v>
      </c>
      <c r="G222" s="18">
        <v>89671.67</v>
      </c>
      <c r="H222" s="18">
        <f>3761.48+2810.46+319.15+449.84</f>
        <v>7340.93</v>
      </c>
      <c r="I222" s="18">
        <f>744.04</f>
        <v>744.04</v>
      </c>
      <c r="J222" s="18">
        <v>0</v>
      </c>
      <c r="K222" s="18">
        <f>1543</f>
        <v>1543</v>
      </c>
      <c r="L222" s="19">
        <f t="shared" si="2"/>
        <v>344628.83999999997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42510</v>
      </c>
      <c r="G223" s="18">
        <f>13104.8-0.01</f>
        <v>13104.789999999999</v>
      </c>
      <c r="H223" s="18">
        <v>3203.77</v>
      </c>
      <c r="I223" s="18">
        <v>0</v>
      </c>
      <c r="J223" s="18">
        <v>168.29</v>
      </c>
      <c r="K223" s="18">
        <v>134.66999999999999</v>
      </c>
      <c r="L223" s="19">
        <f t="shared" si="2"/>
        <v>59121.52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109057.12+1087.83+30719.01</f>
        <v>140863.96</v>
      </c>
      <c r="G224" s="18">
        <f>41.67+57764.48+24096.5</f>
        <v>81902.649999999994</v>
      </c>
      <c r="H224" s="18">
        <f>14230.88+5649.6+1526.71+2995.6+1555.13+35885.06+19258.34+16323.35+739.56+9036+22675.58+1680.49+551.13</f>
        <v>132107.43</v>
      </c>
      <c r="I224" s="18">
        <f>11640.27+36246.63+91671.09+851.86+962.34+1268.08</f>
        <v>142640.26999999996</v>
      </c>
      <c r="J224" s="18">
        <v>0</v>
      </c>
      <c r="K224" s="18">
        <v>0</v>
      </c>
      <c r="L224" s="19">
        <f t="shared" si="2"/>
        <v>497514.30999999994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107461.48+19838.09+4381.31+6415.81+31447.04</f>
        <v>169543.73</v>
      </c>
      <c r="G225" s="18">
        <f>30942.55+1983.19+423.69+581.58+15766.88</f>
        <v>49697.89</v>
      </c>
      <c r="H225" s="18">
        <f>629.82+40817.85+26532.12</f>
        <v>67979.789999999994</v>
      </c>
      <c r="I225" s="18">
        <f>1515.12+62181.07</f>
        <v>63696.19</v>
      </c>
      <c r="J225" s="18">
        <f>52573.04</f>
        <v>52573.04</v>
      </c>
      <c r="K225" s="18">
        <f>2672.99</f>
        <v>2672.99</v>
      </c>
      <c r="L225" s="19">
        <f t="shared" si="2"/>
        <v>406163.62999999995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3856606.5100000002</v>
      </c>
      <c r="G228" s="41">
        <f>SUM(G214:G227)</f>
        <v>1801183.1199999996</v>
      </c>
      <c r="H228" s="41">
        <f>SUM(H214:H227)</f>
        <v>658424.41999999993</v>
      </c>
      <c r="I228" s="41">
        <f>SUM(I214:I227)</f>
        <v>284086.86</v>
      </c>
      <c r="J228" s="41">
        <f>SUM(J214:J227)</f>
        <v>142984.21</v>
      </c>
      <c r="K228" s="41">
        <f t="shared" si="3"/>
        <v>34434.229999999996</v>
      </c>
      <c r="L228" s="41">
        <f t="shared" si="3"/>
        <v>6777719.3499999987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2641709.46+44218.32</f>
        <v>2685927.78</v>
      </c>
      <c r="G232" s="18">
        <f>19500+1272143.17</f>
        <v>1291643.17</v>
      </c>
      <c r="H232" s="18">
        <f>103.5+16508.49+3119.24</f>
        <v>19731.230000000003</v>
      </c>
      <c r="I232" s="18">
        <f>11858.69+613.42+4122.45+5275.13+6520.49+1270.78+6367.24+11097.08+10279.84+32988.25+2936.29+8354.95+1669.18+332.38</f>
        <v>103686.16999999998</v>
      </c>
      <c r="J232" s="18">
        <f>7346.78+361+2438+577.9</f>
        <v>10723.679999999998</v>
      </c>
      <c r="K232" s="18">
        <f>1906</f>
        <v>1906</v>
      </c>
      <c r="L232" s="19">
        <f>SUM(F232:K232)</f>
        <v>4113618.03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365260.25+332673.51+11685.52+9549.42+34741.2</f>
        <v>753909.9</v>
      </c>
      <c r="G233" s="18">
        <f>528.9+373802.47</f>
        <v>374331.37</v>
      </c>
      <c r="H233" s="18">
        <f>4958.16+2181.64+172029.04+101992.95</f>
        <v>281161.78999999998</v>
      </c>
      <c r="I233" s="18">
        <f>1412.41+6043.29-51.76</f>
        <v>7403.94</v>
      </c>
      <c r="J233" s="18">
        <f>2279.85+989</f>
        <v>3268.85</v>
      </c>
      <c r="K233" s="18">
        <f>617.3</f>
        <v>617.29999999999995</v>
      </c>
      <c r="L233" s="19">
        <f>SUM(F233:K233)</f>
        <v>1420693.1500000001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36102.9</v>
      </c>
      <c r="I234" s="18">
        <v>0</v>
      </c>
      <c r="J234" s="18">
        <v>0</v>
      </c>
      <c r="K234" s="18">
        <v>0</v>
      </c>
      <c r="L234" s="19">
        <f>SUM(F234:K234)</f>
        <v>36102.9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53417+60448+157805+8400</f>
        <v>280070</v>
      </c>
      <c r="G235" s="18">
        <f>9042.03+56202.15+1606.41</f>
        <v>66850.59</v>
      </c>
      <c r="H235" s="18">
        <f>2234.3+44648+2193.65+29578.29</f>
        <v>78654.240000000005</v>
      </c>
      <c r="I235" s="18">
        <f>13710.03+19085.02</f>
        <v>32795.050000000003</v>
      </c>
      <c r="J235" s="18">
        <f>9235.77</f>
        <v>9235.77</v>
      </c>
      <c r="K235" s="18">
        <f>2200+4811.36</f>
        <v>7011.36</v>
      </c>
      <c r="L235" s="19">
        <f>SUM(F235:K235)</f>
        <v>474617.00999999995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235512.74+35767.44+57907+31094.82+28702.99+11055.7</f>
        <v>400040.69</v>
      </c>
      <c r="G237" s="18">
        <f>7862.18+109686.66+30166.97+21223.19+17012.2</f>
        <v>185951.2</v>
      </c>
      <c r="H237" s="18">
        <f>8333.34+5085+995.39+271.87+1000+44+670.2+66.17</f>
        <v>16465.969999999998</v>
      </c>
      <c r="I237" s="18">
        <f>2525.17+393.79+1000+798.92+578.78+4893+1676.16+47.37</f>
        <v>11913.19</v>
      </c>
      <c r="J237" s="18">
        <f>12.23</f>
        <v>12.23</v>
      </c>
      <c r="K237" s="18">
        <f>135</f>
        <v>135</v>
      </c>
      <c r="L237" s="19">
        <f t="shared" ref="L237:L243" si="4">SUM(F237:K237)</f>
        <v>614518.27999999991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3000+65387+26018.4+52708.74</f>
        <v>147114.13999999998</v>
      </c>
      <c r="G238" s="18">
        <f>506.86+45821.18+33280.93</f>
        <v>79608.97</v>
      </c>
      <c r="H238" s="18">
        <f>21406.98+11165.14+9427.13+1012.11+2806.42+6582.99+20591.13</f>
        <v>72991.899999999994</v>
      </c>
      <c r="I238" s="18">
        <f>1770+15957.16+22839.35</f>
        <v>40566.509999999995</v>
      </c>
      <c r="J238" s="18">
        <f>118.7+922.7+80156.26</f>
        <v>81197.659999999989</v>
      </c>
      <c r="K238" s="18">
        <f>255</f>
        <v>255</v>
      </c>
      <c r="L238" s="19">
        <f t="shared" si="4"/>
        <v>421734.18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4966.76+333.33+66.67+59259.1</f>
        <v>64625.86</v>
      </c>
      <c r="G239" s="18">
        <f>379.96+25.5+31739.86</f>
        <v>32145.32</v>
      </c>
      <c r="H239" s="18">
        <f>8867.39+13621.48+8436.89+4583.33</f>
        <v>35509.089999999997</v>
      </c>
      <c r="I239" s="18">
        <f>1595.66+2795.36</f>
        <v>4391.0200000000004</v>
      </c>
      <c r="J239" s="18">
        <f>176.86</f>
        <v>176.86</v>
      </c>
      <c r="K239" s="18">
        <f>1824.83+882.78</f>
        <v>2707.6099999999997</v>
      </c>
      <c r="L239" s="19">
        <f t="shared" si="4"/>
        <v>139555.75999999995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96603+87783.84+83990</f>
        <v>268376.83999999997</v>
      </c>
      <c r="G240" s="18">
        <v>98095.94</v>
      </c>
      <c r="H240" s="18">
        <f>14522+552.17+11702.28+5756.99+4746.61+1623.96</f>
        <v>38904.01</v>
      </c>
      <c r="I240" s="18">
        <f>3857.3</f>
        <v>3857.3</v>
      </c>
      <c r="J240" s="18">
        <f>747.5+442.16</f>
        <v>1189.6600000000001</v>
      </c>
      <c r="K240" s="18">
        <f>1413+9151.59</f>
        <v>10564.59</v>
      </c>
      <c r="L240" s="19">
        <f t="shared" si="4"/>
        <v>420988.33999999997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42510</v>
      </c>
      <c r="G241" s="18">
        <v>13104.8</v>
      </c>
      <c r="H241" s="18">
        <v>3203.77</v>
      </c>
      <c r="I241" s="18">
        <v>0</v>
      </c>
      <c r="J241" s="18">
        <v>168.29</v>
      </c>
      <c r="K241" s="18">
        <v>134.66999999999999</v>
      </c>
      <c r="L241" s="19">
        <f t="shared" si="4"/>
        <v>59121.53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205602.85+1087.83+88048.76</f>
        <v>294739.44</v>
      </c>
      <c r="G242" s="18">
        <f>82.18+108902.03+0.21+69066.93+0.01</f>
        <v>178051.36</v>
      </c>
      <c r="H242" s="18">
        <f>11801.67+8470.4+590.62+3876.53+14922.18+2555.59+321+6693.34+27823.69+26782.36+3944.31+32661.78+36616.79+7831.84+547.65</f>
        <v>185439.74999999997</v>
      </c>
      <c r="I242" s="18">
        <f>26154.42+68480.23+150406.45+967.33+5132.47+6763.11</f>
        <v>257904.00999999998</v>
      </c>
      <c r="J242" s="18">
        <f>859.5</f>
        <v>859.5</v>
      </c>
      <c r="K242" s="18">
        <v>0</v>
      </c>
      <c r="L242" s="19">
        <f t="shared" si="4"/>
        <v>916994.05999999994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10141.85+33065.07+19838.09+9099.64+18534.55+9676.01</f>
        <v>100355.20999999999</v>
      </c>
      <c r="G243" s="18">
        <f>934.04+9520.79+1983.19+879.96-0.01+1680.12+4851.35-0.02</f>
        <v>19849.420000000002</v>
      </c>
      <c r="H243" s="18">
        <f>193.79+40817.85+373.79+8163.73</f>
        <v>49549.16</v>
      </c>
      <c r="I243" s="18">
        <f>466.19+19132.64</f>
        <v>19598.829999999998</v>
      </c>
      <c r="J243" s="18">
        <f>16176.32</f>
        <v>16176.32</v>
      </c>
      <c r="K243" s="18">
        <f>822.46</f>
        <v>822.46</v>
      </c>
      <c r="L243" s="19">
        <f t="shared" si="4"/>
        <v>206351.39999999997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5037669.8600000003</v>
      </c>
      <c r="G246" s="41">
        <f t="shared" si="5"/>
        <v>2339632.1399999997</v>
      </c>
      <c r="H246" s="41">
        <f t="shared" si="5"/>
        <v>817713.80999999994</v>
      </c>
      <c r="I246" s="41">
        <f t="shared" si="5"/>
        <v>482116.01999999996</v>
      </c>
      <c r="J246" s="41">
        <f t="shared" si="5"/>
        <v>123008.81999999998</v>
      </c>
      <c r="K246" s="41">
        <f t="shared" si="5"/>
        <v>24153.989999999998</v>
      </c>
      <c r="L246" s="41">
        <f t="shared" si="5"/>
        <v>8824294.6400000006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12794588.18</v>
      </c>
      <c r="G256" s="41">
        <f t="shared" si="8"/>
        <v>5958445.6999999993</v>
      </c>
      <c r="H256" s="41">
        <f t="shared" si="8"/>
        <v>2179500.85</v>
      </c>
      <c r="I256" s="41">
        <f t="shared" si="8"/>
        <v>1058617.06</v>
      </c>
      <c r="J256" s="41">
        <f t="shared" si="8"/>
        <v>393537.91999999993</v>
      </c>
      <c r="K256" s="41">
        <f t="shared" si="8"/>
        <v>93485.91</v>
      </c>
      <c r="L256" s="41">
        <f t="shared" si="8"/>
        <v>22478175.619999997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1005000</v>
      </c>
      <c r="L259" s="19">
        <f>SUM(F259:K259)</f>
        <v>1005000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390481.25</v>
      </c>
      <c r="L260" s="19">
        <f>SUM(F260:K260)</f>
        <v>390481.25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1395481.25</v>
      </c>
      <c r="L269" s="41">
        <f t="shared" si="9"/>
        <v>1395481.25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12794588.18</v>
      </c>
      <c r="G270" s="42">
        <f t="shared" si="11"/>
        <v>5958445.6999999993</v>
      </c>
      <c r="H270" s="42">
        <f t="shared" si="11"/>
        <v>2179500.85</v>
      </c>
      <c r="I270" s="42">
        <f t="shared" si="11"/>
        <v>1058617.06</v>
      </c>
      <c r="J270" s="42">
        <f t="shared" si="11"/>
        <v>393537.91999999993</v>
      </c>
      <c r="K270" s="42">
        <f t="shared" si="11"/>
        <v>1488967.16</v>
      </c>
      <c r="L270" s="42">
        <f t="shared" si="11"/>
        <v>23873656.869999997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7608.85+73548.7-64983+6954.98</f>
        <v>23129.530000000002</v>
      </c>
      <c r="G275" s="18">
        <f>45122-39866.95+1114.35</f>
        <v>6369.4000000000033</v>
      </c>
      <c r="H275" s="18">
        <v>0</v>
      </c>
      <c r="I275" s="18">
        <v>0</v>
      </c>
      <c r="J275" s="18">
        <v>0</v>
      </c>
      <c r="K275" s="18">
        <v>138.66</v>
      </c>
      <c r="L275" s="19">
        <f>SUM(F275:K275)</f>
        <v>29637.590000000007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12353.25+10051.35+4560.78+5000+55135+21514.67</f>
        <v>108615.05</v>
      </c>
      <c r="G276" s="18">
        <f>8308.95</f>
        <v>8308.9500000000007</v>
      </c>
      <c r="H276" s="18">
        <f>30770.08</f>
        <v>30770.080000000002</v>
      </c>
      <c r="I276" s="18">
        <f>3992.11</f>
        <v>3992.11</v>
      </c>
      <c r="J276" s="18">
        <f>4489.01</f>
        <v>4489.01</v>
      </c>
      <c r="K276" s="18">
        <v>734.11</v>
      </c>
      <c r="L276" s="19">
        <f>SUM(F276:K276)</f>
        <v>156909.31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284.69</v>
      </c>
      <c r="K280" s="18">
        <v>1.33</v>
      </c>
      <c r="L280" s="19">
        <f t="shared" ref="L280:L286" si="12">SUM(F280:K280)</f>
        <v>286.02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f>1110.66</f>
        <v>1110.6600000000001</v>
      </c>
      <c r="I281" s="18">
        <v>0</v>
      </c>
      <c r="J281" s="18">
        <v>0</v>
      </c>
      <c r="K281" s="18">
        <v>5.2</v>
      </c>
      <c r="L281" s="19">
        <f t="shared" si="12"/>
        <v>1115.8600000000001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131744.58000000002</v>
      </c>
      <c r="G289" s="42">
        <f t="shared" si="13"/>
        <v>14678.350000000004</v>
      </c>
      <c r="H289" s="42">
        <f t="shared" si="13"/>
        <v>31880.74</v>
      </c>
      <c r="I289" s="42">
        <f t="shared" si="13"/>
        <v>3992.11</v>
      </c>
      <c r="J289" s="42">
        <f t="shared" si="13"/>
        <v>4773.7</v>
      </c>
      <c r="K289" s="42">
        <f t="shared" si="13"/>
        <v>879.30000000000007</v>
      </c>
      <c r="L289" s="41">
        <f t="shared" si="13"/>
        <v>187948.77999999997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7608.85+64983+6954.98+3</f>
        <v>79549.83</v>
      </c>
      <c r="G294" s="18">
        <f>39866.95+1114.35+0.01</f>
        <v>40981.31</v>
      </c>
      <c r="H294" s="18">
        <v>0</v>
      </c>
      <c r="I294" s="18">
        <v>0</v>
      </c>
      <c r="J294" s="18">
        <v>0</v>
      </c>
      <c r="K294" s="18">
        <v>566.55999999999995</v>
      </c>
      <c r="L294" s="19">
        <f>SUM(F294:K294)</f>
        <v>121097.7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5000+21514.67</f>
        <v>26514.67</v>
      </c>
      <c r="G295" s="18">
        <f>2028.35</f>
        <v>2028.35</v>
      </c>
      <c r="H295" s="18">
        <f>30770.08</f>
        <v>30770.080000000002</v>
      </c>
      <c r="I295" s="18">
        <f>3992.11</f>
        <v>3992.11</v>
      </c>
      <c r="J295" s="18">
        <f>4489.01</f>
        <v>4489.01</v>
      </c>
      <c r="K295" s="18">
        <v>318.67</v>
      </c>
      <c r="L295" s="19">
        <f>SUM(F295:K295)</f>
        <v>68112.89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34000+14400</f>
        <v>48400</v>
      </c>
      <c r="G297" s="18">
        <f>2601+2434</f>
        <v>5035</v>
      </c>
      <c r="H297" s="18">
        <v>0</v>
      </c>
      <c r="I297" s="18">
        <v>0</v>
      </c>
      <c r="J297" s="18">
        <v>0</v>
      </c>
      <c r="K297" s="18">
        <v>251.17</v>
      </c>
      <c r="L297" s="19">
        <f>SUM(F297:K297)</f>
        <v>53686.17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f>1110.66</f>
        <v>1110.6600000000001</v>
      </c>
      <c r="I300" s="18">
        <v>0</v>
      </c>
      <c r="J300" s="18">
        <v>0</v>
      </c>
      <c r="K300" s="18">
        <v>5.22</v>
      </c>
      <c r="L300" s="19">
        <f t="shared" si="14"/>
        <v>1115.8800000000001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154464.5</v>
      </c>
      <c r="G308" s="42">
        <f t="shared" si="15"/>
        <v>48044.659999999996</v>
      </c>
      <c r="H308" s="42">
        <f t="shared" si="15"/>
        <v>31880.74</v>
      </c>
      <c r="I308" s="42">
        <f t="shared" si="15"/>
        <v>3992.11</v>
      </c>
      <c r="J308" s="42">
        <f t="shared" si="15"/>
        <v>4489.01</v>
      </c>
      <c r="K308" s="42">
        <f t="shared" si="15"/>
        <v>1141.6200000000001</v>
      </c>
      <c r="L308" s="41">
        <f t="shared" si="15"/>
        <v>244012.64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7608.85+6954.98</f>
        <v>14563.83</v>
      </c>
      <c r="G313" s="18">
        <f>1114.35</f>
        <v>1114.3499999999999</v>
      </c>
      <c r="H313" s="18">
        <v>0</v>
      </c>
      <c r="I313" s="18">
        <v>0</v>
      </c>
      <c r="J313" s="18">
        <v>0</v>
      </c>
      <c r="K313" s="18">
        <v>73.7</v>
      </c>
      <c r="L313" s="19">
        <f>SUM(F313:K313)</f>
        <v>15751.880000000001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34003+21514.67</f>
        <v>55517.67</v>
      </c>
      <c r="G314" s="18">
        <f>4247.05</f>
        <v>4247.05</v>
      </c>
      <c r="H314" s="18">
        <f>30770.08</f>
        <v>30770.080000000002</v>
      </c>
      <c r="I314" s="18">
        <f>3992.11</f>
        <v>3992.11</v>
      </c>
      <c r="J314" s="18">
        <f>4489.01</f>
        <v>4489.01</v>
      </c>
      <c r="K314" s="18">
        <v>465.48</v>
      </c>
      <c r="L314" s="19">
        <f>SUM(F314:K314)</f>
        <v>99481.4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f>1110.66</f>
        <v>1110.6600000000001</v>
      </c>
      <c r="I319" s="18">
        <v>0</v>
      </c>
      <c r="J319" s="18">
        <v>0</v>
      </c>
      <c r="K319" s="18">
        <v>5.23</v>
      </c>
      <c r="L319" s="19">
        <f t="shared" si="16"/>
        <v>1115.8900000000001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70081.5</v>
      </c>
      <c r="G327" s="42">
        <f t="shared" si="17"/>
        <v>5361.4</v>
      </c>
      <c r="H327" s="42">
        <f t="shared" si="17"/>
        <v>31880.74</v>
      </c>
      <c r="I327" s="42">
        <f t="shared" si="17"/>
        <v>3992.11</v>
      </c>
      <c r="J327" s="42">
        <f t="shared" si="17"/>
        <v>4489.01</v>
      </c>
      <c r="K327" s="42">
        <f t="shared" si="17"/>
        <v>544.41000000000008</v>
      </c>
      <c r="L327" s="41">
        <f t="shared" si="17"/>
        <v>116349.17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356290.58</v>
      </c>
      <c r="G337" s="41">
        <f t="shared" si="20"/>
        <v>68084.41</v>
      </c>
      <c r="H337" s="41">
        <f t="shared" si="20"/>
        <v>95642.22</v>
      </c>
      <c r="I337" s="41">
        <f t="shared" si="20"/>
        <v>11976.33</v>
      </c>
      <c r="J337" s="41">
        <f t="shared" si="20"/>
        <v>13751.72</v>
      </c>
      <c r="K337" s="41">
        <f t="shared" si="20"/>
        <v>2565.33</v>
      </c>
      <c r="L337" s="41">
        <f t="shared" si="20"/>
        <v>548310.59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356290.58</v>
      </c>
      <c r="G351" s="41">
        <f>G337</f>
        <v>68084.41</v>
      </c>
      <c r="H351" s="41">
        <f>H337</f>
        <v>95642.22</v>
      </c>
      <c r="I351" s="41">
        <f>I337</f>
        <v>11976.33</v>
      </c>
      <c r="J351" s="41">
        <f>J337</f>
        <v>13751.72</v>
      </c>
      <c r="K351" s="47">
        <f>K337+K350</f>
        <v>2565.33</v>
      </c>
      <c r="L351" s="41">
        <f>L337+L350</f>
        <v>548310.59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38948.620000000003</v>
      </c>
      <c r="G357" s="18">
        <v>20662.439999999999</v>
      </c>
      <c r="H357" s="18">
        <v>2203.84</v>
      </c>
      <c r="I357" s="18">
        <v>40494.03</v>
      </c>
      <c r="J357" s="18">
        <v>0</v>
      </c>
      <c r="K357" s="18">
        <v>11.6</v>
      </c>
      <c r="L357" s="13">
        <f>SUM(F357:K357)</f>
        <v>102320.53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78976.509999999995</v>
      </c>
      <c r="G358" s="18">
        <v>41897.440000000002</v>
      </c>
      <c r="H358" s="18">
        <v>4468.76</v>
      </c>
      <c r="I358" s="18">
        <v>82110.17</v>
      </c>
      <c r="J358" s="18">
        <v>0</v>
      </c>
      <c r="K358" s="18">
        <v>23.52</v>
      </c>
      <c r="L358" s="19">
        <f>SUM(F358:K358)</f>
        <v>207476.4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93662.58</v>
      </c>
      <c r="G359" s="18">
        <f>49688.47-0.02</f>
        <v>49688.450000000004</v>
      </c>
      <c r="H359" s="18">
        <v>5299.74</v>
      </c>
      <c r="I359" s="18">
        <v>97378.95</v>
      </c>
      <c r="J359" s="18">
        <v>0</v>
      </c>
      <c r="K359" s="18">
        <v>27.89</v>
      </c>
      <c r="L359" s="19">
        <f>SUM(F359:K359)</f>
        <v>246057.61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211587.71000000002</v>
      </c>
      <c r="G361" s="47">
        <f t="shared" si="22"/>
        <v>112248.33000000002</v>
      </c>
      <c r="H361" s="47">
        <f t="shared" si="22"/>
        <v>11972.34</v>
      </c>
      <c r="I361" s="47">
        <f t="shared" si="22"/>
        <v>219983.15</v>
      </c>
      <c r="J361" s="47">
        <f t="shared" si="22"/>
        <v>0</v>
      </c>
      <c r="K361" s="47">
        <f t="shared" si="22"/>
        <v>63.01</v>
      </c>
      <c r="L361" s="47">
        <f t="shared" si="22"/>
        <v>555854.54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40494.03-F367</f>
        <v>37968.39</v>
      </c>
      <c r="G366" s="18">
        <f>82110.17-G367</f>
        <v>76988.899999999994</v>
      </c>
      <c r="H366" s="18">
        <f>97378.95-H367</f>
        <v>91305.349999999991</v>
      </c>
      <c r="I366" s="56">
        <f>SUM(F366:H366)</f>
        <v>206262.63999999998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2525.64</v>
      </c>
      <c r="G367" s="63">
        <v>5121.2700000000004</v>
      </c>
      <c r="H367" s="63">
        <v>6073.6</v>
      </c>
      <c r="I367" s="56">
        <f>SUM(F367:H367)</f>
        <v>13720.51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40494.03</v>
      </c>
      <c r="G368" s="47">
        <f>SUM(G366:G367)</f>
        <v>82110.17</v>
      </c>
      <c r="H368" s="47">
        <f>SUM(H366:H367)</f>
        <v>97378.95</v>
      </c>
      <c r="I368" s="47">
        <f>SUM(I366:I367)</f>
        <v>219983.15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f>J192-H396</f>
        <v>30729.48</v>
      </c>
      <c r="I387" s="18">
        <v>0</v>
      </c>
      <c r="J387" s="24" t="s">
        <v>289</v>
      </c>
      <c r="K387" s="24" t="s">
        <v>289</v>
      </c>
      <c r="L387" s="56">
        <f t="shared" si="25"/>
        <v>30729.48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30729.48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30729.48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f>12252.09</f>
        <v>12252.09</v>
      </c>
      <c r="I396" s="18">
        <v>0</v>
      </c>
      <c r="J396" s="24" t="s">
        <v>289</v>
      </c>
      <c r="K396" s="24" t="s">
        <v>289</v>
      </c>
      <c r="L396" s="56">
        <f t="shared" si="26"/>
        <v>12252.09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12252.09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12252.09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42981.57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42981.57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1227663.34-G439</f>
        <v>896435.7300000001</v>
      </c>
      <c r="G439" s="18">
        <f>331227.61</f>
        <v>331227.61</v>
      </c>
      <c r="H439" s="18">
        <v>0</v>
      </c>
      <c r="I439" s="56">
        <f t="shared" si="33"/>
        <v>1227663.3400000001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896435.7300000001</v>
      </c>
      <c r="G445" s="13">
        <f>SUM(G438:G444)</f>
        <v>331227.61</v>
      </c>
      <c r="H445" s="13">
        <f>SUM(H438:H444)</f>
        <v>0</v>
      </c>
      <c r="I445" s="13">
        <f>SUM(I438:I444)</f>
        <v>1227663.3400000001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896435.73</v>
      </c>
      <c r="G458" s="18">
        <v>331227.61</v>
      </c>
      <c r="H458" s="18">
        <v>0</v>
      </c>
      <c r="I458" s="56">
        <f t="shared" si="34"/>
        <v>1227663.3399999999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896435.73</v>
      </c>
      <c r="G459" s="83">
        <f>SUM(G453:G458)</f>
        <v>331227.61</v>
      </c>
      <c r="H459" s="83">
        <f>SUM(H453:H458)</f>
        <v>0</v>
      </c>
      <c r="I459" s="83">
        <f>SUM(I453:I458)</f>
        <v>1227663.3399999999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896435.73</v>
      </c>
      <c r="G460" s="42">
        <f>G451+G459</f>
        <v>331227.61</v>
      </c>
      <c r="H460" s="42">
        <f>H451+H459</f>
        <v>0</v>
      </c>
      <c r="I460" s="42">
        <f>I451+I459</f>
        <v>1227663.3399999999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522910</v>
      </c>
      <c r="G464" s="18">
        <v>94918</v>
      </c>
      <c r="H464" s="18">
        <v>0</v>
      </c>
      <c r="I464" s="18">
        <v>0</v>
      </c>
      <c r="J464" s="18">
        <v>1184681.77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23707674.739999998</v>
      </c>
      <c r="G467" s="18">
        <f>G192</f>
        <v>563834.80000000005</v>
      </c>
      <c r="H467" s="18">
        <f>H192</f>
        <v>548310.89</v>
      </c>
      <c r="I467" s="18">
        <f>I192</f>
        <v>0</v>
      </c>
      <c r="J467" s="18">
        <f>J192</f>
        <v>42981.57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>
        <v>0</v>
      </c>
      <c r="J468" s="18">
        <v>0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23707674.739999998</v>
      </c>
      <c r="G469" s="53">
        <f>SUM(G467:G468)</f>
        <v>563834.80000000005</v>
      </c>
      <c r="H469" s="53">
        <f>SUM(H467:H468)</f>
        <v>548310.89</v>
      </c>
      <c r="I469" s="53">
        <f>SUM(I467:I468)</f>
        <v>0</v>
      </c>
      <c r="J469" s="53">
        <f>SUM(J467:J468)</f>
        <v>42981.57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23873656.869999997</v>
      </c>
      <c r="G471" s="18">
        <f>L361</f>
        <v>555854.54</v>
      </c>
      <c r="H471" s="18">
        <f>L351</f>
        <v>548310.59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>
        <v>0</v>
      </c>
      <c r="J472" s="18">
        <v>0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23873656.869999997</v>
      </c>
      <c r="G473" s="53">
        <f>SUM(G471:G472)</f>
        <v>555854.54</v>
      </c>
      <c r="H473" s="53">
        <f>SUM(H471:H472)</f>
        <v>548310.59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356927.87000000104</v>
      </c>
      <c r="G475" s="53">
        <f>(G464+G469)- G473</f>
        <v>102898.26000000001</v>
      </c>
      <c r="H475" s="53">
        <f>(H464+H469)- H473</f>
        <v>0.30000000004656613</v>
      </c>
      <c r="I475" s="53">
        <f>(I464+I469)- I473</f>
        <v>0</v>
      </c>
      <c r="J475" s="53">
        <f>(J464+J469)- J473</f>
        <v>1227663.3400000001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913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914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16157528</v>
      </c>
      <c r="G492" s="18">
        <v>4027000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5.7</v>
      </c>
      <c r="G493" s="18">
        <v>4.4000000000000004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5635000-805000</f>
        <v>4830000</v>
      </c>
      <c r="G494" s="18">
        <f>3400000-G496</f>
        <v>3200000</v>
      </c>
      <c r="H494" s="18"/>
      <c r="I494" s="18"/>
      <c r="J494" s="18"/>
      <c r="K494" s="53">
        <f>SUM(F494:J494)</f>
        <v>8030000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805000</v>
      </c>
      <c r="G496" s="18">
        <v>200000</v>
      </c>
      <c r="H496" s="18"/>
      <c r="I496" s="18"/>
      <c r="J496" s="18"/>
      <c r="K496" s="53">
        <f t="shared" si="35"/>
        <v>1005000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4025000</v>
      </c>
      <c r="G497" s="205">
        <f>G494-G496</f>
        <v>3000000</v>
      </c>
      <c r="H497" s="205"/>
      <c r="I497" s="205"/>
      <c r="J497" s="205"/>
      <c r="K497" s="206">
        <f t="shared" si="35"/>
        <v>7025000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115718.75+92575+92575+69431.25+69431.25+46287.5+46287.5+23143.75+23143.75</f>
        <v>578593.75</v>
      </c>
      <c r="G498" s="18">
        <f>1851561-83000-83000-78700-78700-74400-74400-70100</f>
        <v>1309261</v>
      </c>
      <c r="H498" s="18"/>
      <c r="I498" s="18"/>
      <c r="J498" s="18"/>
      <c r="K498" s="53">
        <f t="shared" si="35"/>
        <v>1887854.75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4603593.75</v>
      </c>
      <c r="G499" s="42">
        <f>SUM(G497:G498)</f>
        <v>4309261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8912854.75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805000</v>
      </c>
      <c r="G500" s="205">
        <v>200000</v>
      </c>
      <c r="H500" s="205"/>
      <c r="I500" s="205"/>
      <c r="J500" s="205"/>
      <c r="K500" s="206">
        <f t="shared" si="35"/>
        <v>1005000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115718.75+92575</f>
        <v>208293.75</v>
      </c>
      <c r="G501" s="18">
        <v>127300</v>
      </c>
      <c r="H501" s="18"/>
      <c r="I501" s="18"/>
      <c r="J501" s="18"/>
      <c r="K501" s="53">
        <f t="shared" si="35"/>
        <v>335593.75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1013293.75</v>
      </c>
      <c r="G502" s="42">
        <f>SUM(G500:G501)</f>
        <v>327300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1340593.75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F197+F276-F530-F556-F561-F566</f>
        <v>848580.63</v>
      </c>
      <c r="G520" s="18">
        <f t="shared" ref="G520:K520" si="36">G197+G276-G530-G556-G561-G566</f>
        <v>383095.08999999997</v>
      </c>
      <c r="H520" s="18">
        <f t="shared" si="36"/>
        <v>389562.8</v>
      </c>
      <c r="I520" s="18">
        <f t="shared" si="36"/>
        <v>10875.380000000001</v>
      </c>
      <c r="J520" s="18">
        <f t="shared" si="36"/>
        <v>6148.02</v>
      </c>
      <c r="K520" s="18">
        <f t="shared" si="36"/>
        <v>1183.31</v>
      </c>
      <c r="L520" s="88">
        <f>SUM(F520:K520)</f>
        <v>1639445.23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F215+F295-F531-F557-F562-F567</f>
        <v>738702.46</v>
      </c>
      <c r="G521" s="18">
        <f t="shared" ref="G521:K521" si="37">G215+G295-G531-G557-G562-G567</f>
        <v>360399.09</v>
      </c>
      <c r="H521" s="18">
        <f t="shared" si="37"/>
        <v>345986.14999999997</v>
      </c>
      <c r="I521" s="18">
        <f t="shared" si="37"/>
        <v>8521.08</v>
      </c>
      <c r="J521" s="18">
        <f t="shared" si="37"/>
        <v>13492.050000000001</v>
      </c>
      <c r="K521" s="18">
        <f t="shared" si="37"/>
        <v>879.16000000000008</v>
      </c>
      <c r="L521" s="88">
        <f>SUM(F521:K521)</f>
        <v>1467979.99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F233+F314-F532-F558-F563-F568</f>
        <v>782171.81</v>
      </c>
      <c r="G522" s="18">
        <f t="shared" ref="G522:K522" si="38">G233+G314-G532-G558-G563-G568</f>
        <v>369890.99</v>
      </c>
      <c r="H522" s="18">
        <f t="shared" si="38"/>
        <v>311931.87</v>
      </c>
      <c r="I522" s="18">
        <f t="shared" si="38"/>
        <v>11396.05</v>
      </c>
      <c r="J522" s="18">
        <f t="shared" si="38"/>
        <v>7757.8600000000006</v>
      </c>
      <c r="K522" s="18">
        <f t="shared" si="38"/>
        <v>1082.78</v>
      </c>
      <c r="L522" s="88">
        <f>SUM(F522:K522)</f>
        <v>1484231.36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2369454.9</v>
      </c>
      <c r="G523" s="108">
        <f t="shared" ref="G523:L523" si="39">SUM(G520:G522)</f>
        <v>1113385.17</v>
      </c>
      <c r="H523" s="108">
        <f t="shared" si="39"/>
        <v>1047480.82</v>
      </c>
      <c r="I523" s="108">
        <f t="shared" si="39"/>
        <v>30792.51</v>
      </c>
      <c r="J523" s="108">
        <f t="shared" si="39"/>
        <v>27397.93</v>
      </c>
      <c r="K523" s="108">
        <f t="shared" si="39"/>
        <v>3145.25</v>
      </c>
      <c r="L523" s="89">
        <f t="shared" si="39"/>
        <v>4591656.58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22627.24+146161.31+110411.81</f>
        <v>279200.36</v>
      </c>
      <c r="G525" s="18">
        <f>7952.17+15443.8+97707.42+39634.25</f>
        <v>160737.64000000001</v>
      </c>
      <c r="H525" s="18">
        <f>487.7+403.42+35004.35+350</f>
        <v>36245.47</v>
      </c>
      <c r="I525" s="18">
        <f>288.85+854.48</f>
        <v>1143.33</v>
      </c>
      <c r="J525" s="18">
        <f>74.55+2318.97</f>
        <v>2393.52</v>
      </c>
      <c r="K525" s="18">
        <v>0</v>
      </c>
      <c r="L525" s="88">
        <f>SUM(F525:K525)</f>
        <v>479720.32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28233.24+28702.99+55205.9</f>
        <v>112142.13</v>
      </c>
      <c r="G526" s="18">
        <f>7952.17+19270.07+17012.2+19817.12</f>
        <v>64051.56</v>
      </c>
      <c r="H526" s="18">
        <f>608.52+66.17+17502.18+175</f>
        <v>18351.87</v>
      </c>
      <c r="I526" s="18">
        <f>47.37+427.24</f>
        <v>474.61</v>
      </c>
      <c r="J526" s="18">
        <f>12.23+1159.49</f>
        <v>1171.72</v>
      </c>
      <c r="K526" s="18">
        <v>0</v>
      </c>
      <c r="L526" s="88">
        <f>SUM(F526:K526)</f>
        <v>196191.88999999998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31094.82+28702.99</f>
        <v>59797.81</v>
      </c>
      <c r="G527" s="18">
        <f>7952.17+21223.19+17012.2</f>
        <v>46187.56</v>
      </c>
      <c r="H527" s="18">
        <f>670.2+66.17</f>
        <v>736.37</v>
      </c>
      <c r="I527" s="18">
        <f>47.37</f>
        <v>47.37</v>
      </c>
      <c r="J527" s="18">
        <f>12.23</f>
        <v>12.23</v>
      </c>
      <c r="K527" s="18">
        <v>0</v>
      </c>
      <c r="L527" s="88">
        <f>SUM(F527:K527)</f>
        <v>106781.33999999998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451140.3</v>
      </c>
      <c r="G528" s="89">
        <f t="shared" ref="G528:L528" si="40">SUM(G525:G527)</f>
        <v>270976.76</v>
      </c>
      <c r="H528" s="89">
        <f t="shared" si="40"/>
        <v>55333.71</v>
      </c>
      <c r="I528" s="89">
        <f t="shared" si="40"/>
        <v>1665.31</v>
      </c>
      <c r="J528" s="89">
        <f t="shared" si="40"/>
        <v>3577.47</v>
      </c>
      <c r="K528" s="89">
        <f t="shared" si="40"/>
        <v>0</v>
      </c>
      <c r="L528" s="89">
        <f t="shared" si="40"/>
        <v>782693.54999999993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27255.759999999998</v>
      </c>
      <c r="G530" s="18">
        <v>8687.43</v>
      </c>
      <c r="H530" s="18">
        <v>0</v>
      </c>
      <c r="I530" s="18">
        <v>0</v>
      </c>
      <c r="J530" s="18">
        <v>0</v>
      </c>
      <c r="K530" s="18">
        <v>0</v>
      </c>
      <c r="L530" s="88">
        <f>SUM(F530:K530)</f>
        <v>35943.19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27255.759999999998</v>
      </c>
      <c r="G531" s="18">
        <v>8687.43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35943.19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27255.759999999998</v>
      </c>
      <c r="G532" s="18">
        <v>8687.43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35943.19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81767.28</v>
      </c>
      <c r="G533" s="89">
        <f t="shared" ref="G533:L533" si="41">SUM(G530:G532)</f>
        <v>26062.29</v>
      </c>
      <c r="H533" s="89">
        <f t="shared" si="41"/>
        <v>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107829.57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19838.09</v>
      </c>
      <c r="G540" s="18">
        <v>1983.19</v>
      </c>
      <c r="H540" s="18">
        <v>40817.85</v>
      </c>
      <c r="I540" s="18">
        <v>0</v>
      </c>
      <c r="J540" s="18">
        <v>0</v>
      </c>
      <c r="K540" s="18">
        <v>0</v>
      </c>
      <c r="L540" s="88">
        <f>SUM(F540:K540)</f>
        <v>62639.13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19838.09</v>
      </c>
      <c r="G541" s="18">
        <v>1983.19</v>
      </c>
      <c r="H541" s="18">
        <v>40817.85</v>
      </c>
      <c r="I541" s="18">
        <v>0</v>
      </c>
      <c r="J541" s="18">
        <v>0</v>
      </c>
      <c r="K541" s="18">
        <v>0</v>
      </c>
      <c r="L541" s="88">
        <f>SUM(F541:K541)</f>
        <v>62639.13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19838.09</v>
      </c>
      <c r="G542" s="18">
        <v>1983.19</v>
      </c>
      <c r="H542" s="18">
        <v>40817.85</v>
      </c>
      <c r="I542" s="18">
        <v>0</v>
      </c>
      <c r="J542" s="18">
        <v>0</v>
      </c>
      <c r="K542" s="18">
        <v>0</v>
      </c>
      <c r="L542" s="88">
        <f>SUM(F542:K542)</f>
        <v>62639.13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59514.270000000004</v>
      </c>
      <c r="G543" s="194">
        <f t="shared" ref="G543:L543" si="43">SUM(G540:G542)</f>
        <v>5949.57</v>
      </c>
      <c r="H543" s="194">
        <f t="shared" si="43"/>
        <v>122453.54999999999</v>
      </c>
      <c r="I543" s="194">
        <f t="shared" si="43"/>
        <v>0</v>
      </c>
      <c r="J543" s="194">
        <f t="shared" si="43"/>
        <v>0</v>
      </c>
      <c r="K543" s="194">
        <f t="shared" si="43"/>
        <v>0</v>
      </c>
      <c r="L543" s="194">
        <f t="shared" si="43"/>
        <v>187917.38999999998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2961876.7499999995</v>
      </c>
      <c r="G544" s="89">
        <f t="shared" ref="G544:L544" si="44">G523+G528+G533+G538+G543</f>
        <v>1416373.79</v>
      </c>
      <c r="H544" s="89">
        <f t="shared" si="44"/>
        <v>1225268.08</v>
      </c>
      <c r="I544" s="89">
        <f t="shared" si="44"/>
        <v>32457.82</v>
      </c>
      <c r="J544" s="89">
        <f t="shared" si="44"/>
        <v>30975.4</v>
      </c>
      <c r="K544" s="89">
        <f t="shared" si="44"/>
        <v>3145.25</v>
      </c>
      <c r="L544" s="89">
        <f t="shared" si="44"/>
        <v>5670097.0899999999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1639445.23</v>
      </c>
      <c r="G548" s="87">
        <f>L525</f>
        <v>479720.32</v>
      </c>
      <c r="H548" s="87">
        <f>L530</f>
        <v>35943.19</v>
      </c>
      <c r="I548" s="87">
        <f>L535</f>
        <v>0</v>
      </c>
      <c r="J548" s="87">
        <f>L540</f>
        <v>62639.13</v>
      </c>
      <c r="K548" s="87">
        <f>SUM(F548:J548)</f>
        <v>2217747.8699999996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1467979.99</v>
      </c>
      <c r="G549" s="87">
        <f>L526</f>
        <v>196191.88999999998</v>
      </c>
      <c r="H549" s="87">
        <f>L531</f>
        <v>35943.19</v>
      </c>
      <c r="I549" s="87">
        <f>L536</f>
        <v>0</v>
      </c>
      <c r="J549" s="87">
        <f>L541</f>
        <v>62639.13</v>
      </c>
      <c r="K549" s="87">
        <f>SUM(F549:J549)</f>
        <v>1762754.1999999997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1484231.36</v>
      </c>
      <c r="G550" s="87">
        <f>L527</f>
        <v>106781.33999999998</v>
      </c>
      <c r="H550" s="87">
        <f>L532</f>
        <v>35943.19</v>
      </c>
      <c r="I550" s="87">
        <f>L537</f>
        <v>0</v>
      </c>
      <c r="J550" s="87">
        <f>L542</f>
        <v>62639.13</v>
      </c>
      <c r="K550" s="87">
        <f>SUM(F550:J550)</f>
        <v>1689595.02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4591656.58</v>
      </c>
      <c r="G551" s="89">
        <f t="shared" si="45"/>
        <v>782693.54999999993</v>
      </c>
      <c r="H551" s="89">
        <f t="shared" si="45"/>
        <v>107829.57</v>
      </c>
      <c r="I551" s="89">
        <f t="shared" si="45"/>
        <v>0</v>
      </c>
      <c r="J551" s="89">
        <f t="shared" si="45"/>
        <v>187917.38999999998</v>
      </c>
      <c r="K551" s="89">
        <f t="shared" si="45"/>
        <v>5670097.0899999999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12984.69</v>
      </c>
      <c r="I561" s="18">
        <v>0</v>
      </c>
      <c r="J561" s="18">
        <v>0</v>
      </c>
      <c r="K561" s="18">
        <v>0</v>
      </c>
      <c r="L561" s="88">
        <f>SUM(F561:K561)</f>
        <v>12984.69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12984.69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12984.69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61492</v>
      </c>
      <c r="G566" s="18">
        <v>19422.03</v>
      </c>
      <c r="H566" s="18">
        <v>0</v>
      </c>
      <c r="I566" s="18">
        <f>1643.45+496.89</f>
        <v>2140.34</v>
      </c>
      <c r="J566" s="18">
        <v>0</v>
      </c>
      <c r="K566" s="18">
        <v>0</v>
      </c>
      <c r="L566" s="88">
        <f>SUM(F566:K566)</f>
        <v>83054.37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63442</v>
      </c>
      <c r="G567" s="18">
        <v>20037.939999999999</v>
      </c>
      <c r="H567" s="18">
        <v>0</v>
      </c>
      <c r="I567" s="18">
        <f>806.66+557.35</f>
        <v>1364.01</v>
      </c>
      <c r="J567" s="18">
        <v>0</v>
      </c>
      <c r="K567" s="18">
        <v>0</v>
      </c>
      <c r="L567" s="88">
        <f>SUM(F567:K567)</f>
        <v>84843.95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124934</v>
      </c>
      <c r="G569" s="194">
        <f t="shared" ref="G569:L569" si="48">SUM(G566:G568)</f>
        <v>39459.97</v>
      </c>
      <c r="H569" s="194">
        <f t="shared" si="48"/>
        <v>0</v>
      </c>
      <c r="I569" s="194">
        <f t="shared" si="48"/>
        <v>3504.3500000000004</v>
      </c>
      <c r="J569" s="194">
        <f t="shared" si="48"/>
        <v>0</v>
      </c>
      <c r="K569" s="194">
        <f t="shared" si="48"/>
        <v>0</v>
      </c>
      <c r="L569" s="194">
        <f t="shared" si="48"/>
        <v>167898.32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124934</v>
      </c>
      <c r="G570" s="89">
        <f t="shared" ref="G570:L570" si="49">G559+G564+G569</f>
        <v>39459.97</v>
      </c>
      <c r="H570" s="89">
        <f t="shared" si="49"/>
        <v>12984.69</v>
      </c>
      <c r="I570" s="89">
        <f t="shared" si="49"/>
        <v>3504.3500000000004</v>
      </c>
      <c r="J570" s="89">
        <f t="shared" si="49"/>
        <v>0</v>
      </c>
      <c r="K570" s="89">
        <f t="shared" si="49"/>
        <v>0</v>
      </c>
      <c r="L570" s="89">
        <f t="shared" si="49"/>
        <v>180883.01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7087.5</v>
      </c>
      <c r="I578" s="87">
        <f t="shared" si="50"/>
        <v>7087.5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232022.18</f>
        <v>232022.18</v>
      </c>
      <c r="G581" s="18">
        <f>157037.58</f>
        <v>157037.57999999999</v>
      </c>
      <c r="H581" s="18">
        <f>101992.95-H578</f>
        <v>94905.45</v>
      </c>
      <c r="I581" s="87">
        <f t="shared" si="50"/>
        <v>483965.21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36102.9</v>
      </c>
      <c r="I583" s="87">
        <f t="shared" si="50"/>
        <v>36102.9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L207-H591-H592-H593-H594-H595-H596</f>
        <v>154239.03000000006</v>
      </c>
      <c r="I590" s="18">
        <f>L225-I591-I592-I593-I594-I595-I596</f>
        <v>143221.97999999992</v>
      </c>
      <c r="J590" s="18">
        <f>L243-J591-J592-J593-J594-J595-J596</f>
        <v>44442.069999999942</v>
      </c>
      <c r="K590" s="104">
        <f t="shared" ref="K590:K596" si="51">SUM(H590:J590)</f>
        <v>341903.07999999996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L540</f>
        <v>62639.13</v>
      </c>
      <c r="I591" s="18">
        <f>H591</f>
        <v>62639.13</v>
      </c>
      <c r="J591" s="18">
        <f>H591</f>
        <v>62639.13</v>
      </c>
      <c r="K591" s="104">
        <f t="shared" si="51"/>
        <v>187917.38999999998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f>10141.85+934.04</f>
        <v>11075.89</v>
      </c>
      <c r="K592" s="104">
        <f t="shared" si="51"/>
        <v>11075.89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6997.39</v>
      </c>
      <c r="J593" s="18">
        <v>20214.669999999998</v>
      </c>
      <c r="K593" s="104">
        <f t="shared" si="51"/>
        <v>27212.059999999998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739.23</v>
      </c>
      <c r="I594" s="18">
        <v>4804.99</v>
      </c>
      <c r="J594" s="18">
        <v>9979.6</v>
      </c>
      <c r="K594" s="104">
        <f t="shared" si="51"/>
        <v>15523.82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51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203000.15</v>
      </c>
      <c r="I596" s="18">
        <v>188500.14</v>
      </c>
      <c r="J596" s="18">
        <v>58000.04</v>
      </c>
      <c r="K596" s="104">
        <f t="shared" si="51"/>
        <v>449500.33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420617.54000000004</v>
      </c>
      <c r="I597" s="108">
        <f>SUM(I590:I596)</f>
        <v>406163.62999999995</v>
      </c>
      <c r="J597" s="108">
        <f>SUM(J590:J596)</f>
        <v>206351.39999999997</v>
      </c>
      <c r="K597" s="108">
        <f>SUM(K590:K596)</f>
        <v>1033132.5699999998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132318.59</v>
      </c>
      <c r="I603" s="18">
        <f>J228+J308</f>
        <v>147473.22</v>
      </c>
      <c r="J603" s="18">
        <f>J246+J327</f>
        <v>127497.82999999997</v>
      </c>
      <c r="K603" s="104">
        <f>SUM(H603:J603)</f>
        <v>407289.63999999996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132318.59</v>
      </c>
      <c r="I604" s="108">
        <f>SUM(I601:I603)</f>
        <v>147473.22</v>
      </c>
      <c r="J604" s="108">
        <f>SUM(J601:J603)</f>
        <v>127497.82999999997</v>
      </c>
      <c r="K604" s="108">
        <f>SUM(K601:K603)</f>
        <v>407289.63999999996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8400</v>
      </c>
      <c r="G612" s="18">
        <v>1606.41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10006.41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8400</v>
      </c>
      <c r="G613" s="108">
        <f t="shared" si="52"/>
        <v>1606.41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10006.41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940368.89</v>
      </c>
      <c r="H616" s="109">
        <f>SUM(F51)</f>
        <v>940368.89000000106</v>
      </c>
      <c r="I616" s="121" t="s">
        <v>901</v>
      </c>
      <c r="J616" s="109">
        <f>G616-H616</f>
        <v>-1.0477378964424133E-9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102898.26</v>
      </c>
      <c r="H617" s="109">
        <f>SUM(G51)</f>
        <v>102898.26000000001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26817.53</v>
      </c>
      <c r="H618" s="109">
        <f>SUM(H51)</f>
        <v>26817.530000000046</v>
      </c>
      <c r="I618" s="121" t="s">
        <v>903</v>
      </c>
      <c r="J618" s="109">
        <f>G618-H618</f>
        <v>-4.7293724492192268E-11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1227663.3400000001</v>
      </c>
      <c r="H620" s="109">
        <f>SUM(J51)</f>
        <v>1227663.3399999999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356927.87000000104</v>
      </c>
      <c r="H621" s="109">
        <f>F475</f>
        <v>356927.87000000104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102898.26000000001</v>
      </c>
      <c r="H622" s="109">
        <f>G475</f>
        <v>102898.26000000001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0.30000000004656613</v>
      </c>
      <c r="H623" s="109">
        <f>H475</f>
        <v>0.30000000004656613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1227663.3399999999</v>
      </c>
      <c r="H625" s="109">
        <f>J475</f>
        <v>1227663.3400000001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23707674.739999998</v>
      </c>
      <c r="H626" s="104">
        <f>SUM(F467)</f>
        <v>23707674.739999998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563834.80000000005</v>
      </c>
      <c r="H627" s="104">
        <f>SUM(G467)</f>
        <v>563834.80000000005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548310.89</v>
      </c>
      <c r="H628" s="104">
        <f>SUM(H467)</f>
        <v>548310.89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42981.57</v>
      </c>
      <c r="H630" s="104">
        <f>SUM(J467)</f>
        <v>42981.57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23873656.869999997</v>
      </c>
      <c r="H631" s="104">
        <f>SUM(F471)</f>
        <v>23873656.869999997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548310.59</v>
      </c>
      <c r="H632" s="104">
        <f>SUM(H471)</f>
        <v>548310.59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219983.15</v>
      </c>
      <c r="H633" s="104">
        <f>I368</f>
        <v>219983.15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555854.54</v>
      </c>
      <c r="H634" s="104">
        <f>SUM(G471)</f>
        <v>555854.54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42981.57</v>
      </c>
      <c r="H636" s="164">
        <f>SUM(J467)</f>
        <v>42981.57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896435.7300000001</v>
      </c>
      <c r="H638" s="104">
        <f>SUM(F460)</f>
        <v>896435.73</v>
      </c>
      <c r="I638" s="140" t="s">
        <v>868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331227.61</v>
      </c>
      <c r="H639" s="104">
        <f>SUM(G460)</f>
        <v>331227.61</v>
      </c>
      <c r="I639" s="140" t="s">
        <v>869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1227663.3400000001</v>
      </c>
      <c r="H641" s="104">
        <f>SUM(I460)</f>
        <v>1227663.3399999999</v>
      </c>
      <c r="I641" s="140" t="s">
        <v>871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42981.57</v>
      </c>
      <c r="H643" s="104">
        <f>H407</f>
        <v>42981.57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42981.57</v>
      </c>
      <c r="H645" s="104">
        <f>L407</f>
        <v>42981.57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1033132.5699999998</v>
      </c>
      <c r="H646" s="104">
        <f>L207+L225+L243</f>
        <v>1033132.5699999998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407289.63999999996</v>
      </c>
      <c r="H647" s="104">
        <f>(J256+J337)-(J254+J335)</f>
        <v>407289.6399999999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420617.54000000004</v>
      </c>
      <c r="H648" s="104">
        <f>H597</f>
        <v>420617.54000000004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406163.62999999995</v>
      </c>
      <c r="H649" s="104">
        <f>I597</f>
        <v>406163.62999999995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206351.39999999997</v>
      </c>
      <c r="H650" s="104">
        <f>J597</f>
        <v>206351.39999999997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7166430.9399999995</v>
      </c>
      <c r="G659" s="19">
        <f>(L228+L308+L358)</f>
        <v>7229208.3899999987</v>
      </c>
      <c r="H659" s="19">
        <f>(L246+L327+L359)</f>
        <v>9186701.4199999999</v>
      </c>
      <c r="I659" s="19">
        <f>SUM(F659:H659)</f>
        <v>23582340.75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89569.651631474117</v>
      </c>
      <c r="G660" s="19">
        <f>(L358/IF(SUM(L357:L359)=0,1,SUM(L357:L359))*(SUM(G96:G109)))</f>
        <v>181621.31167374109</v>
      </c>
      <c r="H660" s="19">
        <f>(L359/IF(SUM(L357:L359)=0,1,SUM(L357:L359))*(SUM(G96:G109)))</f>
        <v>215394.64669478472</v>
      </c>
      <c r="I660" s="19">
        <f>SUM(F660:H660)</f>
        <v>486585.61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364000.42000000004</v>
      </c>
      <c r="G661" s="19">
        <f>(L225+L305)-(J225+J305)</f>
        <v>353590.58999999997</v>
      </c>
      <c r="H661" s="19">
        <f>(L243+L324)-(J243+J324)</f>
        <v>190175.07999999996</v>
      </c>
      <c r="I661" s="19">
        <f>SUM(F661:H661)</f>
        <v>907766.09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364340.77</v>
      </c>
      <c r="G662" s="200">
        <f>SUM(G574:G586)+SUM(I601:I603)+L611</f>
        <v>304510.8</v>
      </c>
      <c r="H662" s="200">
        <f>SUM(H574:H586)+SUM(J601:J603)+L612</f>
        <v>275600.08999999997</v>
      </c>
      <c r="I662" s="19">
        <f>SUM(F662:H662)</f>
        <v>944451.66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6348520.0983685255</v>
      </c>
      <c r="G663" s="19">
        <f>G659-SUM(G660:G662)</f>
        <v>6389485.6883262582</v>
      </c>
      <c r="H663" s="19">
        <f>H659-SUM(H660:H662)</f>
        <v>8505531.603305215</v>
      </c>
      <c r="I663" s="19">
        <f>I659-SUM(I660:I662)</f>
        <v>21243537.390000001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409.02</v>
      </c>
      <c r="G664" s="249">
        <v>472.3</v>
      </c>
      <c r="H664" s="249">
        <v>520.16999999999996</v>
      </c>
      <c r="I664" s="19">
        <f>SUM(F664:H664)</f>
        <v>1401.4899999999998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15521.3</v>
      </c>
      <c r="G666" s="19">
        <f>ROUND(G663/G664,2)</f>
        <v>13528.45</v>
      </c>
      <c r="H666" s="19">
        <f>ROUND(H663/H664,2)</f>
        <v>16351.45</v>
      </c>
      <c r="I666" s="19">
        <f>ROUND(I663/I664,2)</f>
        <v>15157.82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-12.27</v>
      </c>
      <c r="I669" s="19">
        <f>SUM(F669:H669)</f>
        <v>-12.27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15521.3</v>
      </c>
      <c r="G671" s="19">
        <f>ROUND((G663+G668)/(G664+G669),2)</f>
        <v>13528.45</v>
      </c>
      <c r="H671" s="19">
        <f>ROUND((H663+H668)/(H664+H669),2)</f>
        <v>16746.47</v>
      </c>
      <c r="I671" s="19">
        <f>ROUND((I663+I668)/(I664+I669),2)</f>
        <v>15291.7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27" sqref="F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BOW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6653757.4899999993</v>
      </c>
      <c r="C9" s="230">
        <f>'DOE25'!G196+'DOE25'!G214+'DOE25'!G232+'DOE25'!G275+'DOE25'!G294+'DOE25'!G313</f>
        <v>3202871.84</v>
      </c>
    </row>
    <row r="10" spans="1:3" x14ac:dyDescent="0.2">
      <c r="A10" t="s">
        <v>779</v>
      </c>
      <c r="B10" s="241">
        <f>'DOE25'!F196+'DOE25'!F214+'DOE25'!F232+'DOE25'!F275+'DOE25'!F294+'DOE25'!F313-'Salaries-Benefits'!B11-'Salaries-Benefits'!B12</f>
        <v>6366768.2399999984</v>
      </c>
      <c r="C10" s="241">
        <f>'DOE25'!G196+'DOE25'!G214+'DOE25'!G232+'DOE25'!G275+'DOE25'!G294+'DOE25'!G313-'Salaries-Benefits'!C11-'Salaries-Benefits'!C12</f>
        <v>3087299</v>
      </c>
    </row>
    <row r="11" spans="1:3" x14ac:dyDescent="0.2">
      <c r="A11" t="s">
        <v>780</v>
      </c>
      <c r="B11" s="241">
        <f>14633.85+36581.38</f>
        <v>51215.229999999996</v>
      </c>
      <c r="C11" s="241">
        <f>1312.95+20365.33</f>
        <v>21678.280000000002</v>
      </c>
    </row>
    <row r="12" spans="1:3" x14ac:dyDescent="0.2">
      <c r="A12" t="s">
        <v>781</v>
      </c>
      <c r="B12" s="241">
        <f>87267.12+73903.08+74603.82</f>
        <v>235774.02000000002</v>
      </c>
      <c r="C12" s="241">
        <f>48146.67+22804.64+22943.25</f>
        <v>93894.56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6653757.4899999984</v>
      </c>
      <c r="C13" s="232">
        <f>SUM(C10:C12)</f>
        <v>3202871.84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2576156.1799999997</v>
      </c>
      <c r="C18" s="230">
        <f>'DOE25'!G197+'DOE25'!G215+'DOE25'!G233+'DOE25'!G276+'DOE25'!G295+'DOE25'!G314</f>
        <v>1178907.4300000002</v>
      </c>
    </row>
    <row r="19" spans="1:3" x14ac:dyDescent="0.2">
      <c r="A19" t="s">
        <v>779</v>
      </c>
      <c r="B19" s="241">
        <v>1011734.9</v>
      </c>
      <c r="C19" s="241">
        <v>484510.56</v>
      </c>
    </row>
    <row r="20" spans="1:3" x14ac:dyDescent="0.2">
      <c r="A20" t="s">
        <v>780</v>
      </c>
      <c r="B20" s="241">
        <f>B18-B19-B21</f>
        <v>1448891.0399999998</v>
      </c>
      <c r="C20" s="241">
        <f>C18-C19-C21</f>
        <v>653545.1100000001</v>
      </c>
    </row>
    <row r="21" spans="1:3" x14ac:dyDescent="0.2">
      <c r="A21" t="s">
        <v>781</v>
      </c>
      <c r="B21" s="241">
        <f>81767.28+33762.96</f>
        <v>115530.23999999999</v>
      </c>
      <c r="C21" s="241">
        <f>26062.29+14789.47</f>
        <v>40851.760000000002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2576156.1799999997</v>
      </c>
      <c r="C22" s="232">
        <f>SUM(C19:C21)</f>
        <v>1178907.4300000002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378707</v>
      </c>
      <c r="C36" s="236">
        <f>'DOE25'!G199+'DOE25'!G217+'DOE25'!G235+'DOE25'!G278+'DOE25'!G297+'DOE25'!G316</f>
        <v>81899.08</v>
      </c>
    </row>
    <row r="37" spans="1:3" x14ac:dyDescent="0.2">
      <c r="A37" t="s">
        <v>779</v>
      </c>
      <c r="B37" s="241">
        <f>'DOE25'!F199+'DOE25'!F217+'DOE25'!F235+'DOE25'!F278+'DOE25'!F297+'DOE25'!F316-B38-B39</f>
        <v>265560</v>
      </c>
      <c r="C37" s="241">
        <f>'DOE25'!G199+'DOE25'!G217+'DOE25'!G235+'DOE25'!G278+'DOE25'!G297+'DOE25'!G316-C38-C39</f>
        <v>42346.820000000007</v>
      </c>
    </row>
    <row r="38" spans="1:3" x14ac:dyDescent="0.2">
      <c r="A38" t="s">
        <v>780</v>
      </c>
      <c r="B38" s="241">
        <v>31625</v>
      </c>
      <c r="C38" s="241">
        <v>12650</v>
      </c>
    </row>
    <row r="39" spans="1:3" x14ac:dyDescent="0.2">
      <c r="A39" t="s">
        <v>781</v>
      </c>
      <c r="B39" s="241">
        <v>81522</v>
      </c>
      <c r="C39" s="241">
        <v>26902.26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378707</v>
      </c>
      <c r="C40" s="232">
        <f>SUM(C37:C39)</f>
        <v>81899.08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36" sqref="E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BOW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15139076.77</v>
      </c>
      <c r="D5" s="20">
        <f>SUM('DOE25'!L196:L199)+SUM('DOE25'!L214:L217)+SUM('DOE25'!L232:L235)-F5-G5</f>
        <v>15079288.560000001</v>
      </c>
      <c r="E5" s="244"/>
      <c r="F5" s="256">
        <f>SUM('DOE25'!J196:J199)+SUM('DOE25'!J214:J217)+SUM('DOE25'!J232:J235)</f>
        <v>44992.36</v>
      </c>
      <c r="G5" s="53">
        <f>SUM('DOE25'!K196:K199)+SUM('DOE25'!K214:K217)+SUM('DOE25'!K232:K235)</f>
        <v>14795.849999999999</v>
      </c>
      <c r="H5" s="260"/>
    </row>
    <row r="6" spans="1:9" x14ac:dyDescent="0.2">
      <c r="A6" s="32">
        <v>2100</v>
      </c>
      <c r="B6" t="s">
        <v>801</v>
      </c>
      <c r="C6" s="246">
        <f t="shared" si="0"/>
        <v>1781480.46</v>
      </c>
      <c r="D6" s="20">
        <f>'DOE25'!L201+'DOE25'!L219+'DOE25'!L237-F6-G6</f>
        <v>1777767.99</v>
      </c>
      <c r="E6" s="244"/>
      <c r="F6" s="256">
        <f>'DOE25'!J201+'DOE25'!J219+'DOE25'!J237</f>
        <v>3577.47</v>
      </c>
      <c r="G6" s="53">
        <f>'DOE25'!K201+'DOE25'!K219+'DOE25'!K237</f>
        <v>135</v>
      </c>
      <c r="H6" s="260"/>
    </row>
    <row r="7" spans="1:9" x14ac:dyDescent="0.2">
      <c r="A7" s="32">
        <v>2200</v>
      </c>
      <c r="B7" t="s">
        <v>834</v>
      </c>
      <c r="C7" s="246">
        <f t="shared" si="0"/>
        <v>972740.94</v>
      </c>
      <c r="D7" s="20">
        <f>'DOE25'!L202+'DOE25'!L220+'DOE25'!L238-F7-G7</f>
        <v>759637.55</v>
      </c>
      <c r="E7" s="244"/>
      <c r="F7" s="256">
        <f>'DOE25'!J202+'DOE25'!J220+'DOE25'!J238</f>
        <v>212848.38999999996</v>
      </c>
      <c r="G7" s="53">
        <f>'DOE25'!K202+'DOE25'!K220+'DOE25'!K238</f>
        <v>255</v>
      </c>
      <c r="H7" s="260"/>
    </row>
    <row r="8" spans="1:9" x14ac:dyDescent="0.2">
      <c r="A8" s="32">
        <v>2300</v>
      </c>
      <c r="B8" t="s">
        <v>802</v>
      </c>
      <c r="C8" s="246">
        <f t="shared" si="0"/>
        <v>105861.15999999999</v>
      </c>
      <c r="D8" s="244"/>
      <c r="E8" s="20">
        <f>'DOE25'!L203+'DOE25'!L221+'DOE25'!L239-F8-G8-D9-D11</f>
        <v>47623.609999999986</v>
      </c>
      <c r="F8" s="256">
        <f>'DOE25'!J203+'DOE25'!J221+'DOE25'!J239</f>
        <v>466.14</v>
      </c>
      <c r="G8" s="53">
        <f>'DOE25'!K203+'DOE25'!K221+'DOE25'!K239</f>
        <v>57771.41</v>
      </c>
      <c r="H8" s="260"/>
    </row>
    <row r="9" spans="1:9" x14ac:dyDescent="0.2">
      <c r="A9" s="32">
        <v>2310</v>
      </c>
      <c r="B9" t="s">
        <v>818</v>
      </c>
      <c r="C9" s="246">
        <f t="shared" si="0"/>
        <v>52903.83</v>
      </c>
      <c r="D9" s="245">
        <v>52903.83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13750</v>
      </c>
      <c r="D10" s="244"/>
      <c r="E10" s="245">
        <v>13750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272239.31</v>
      </c>
      <c r="D11" s="245">
        <v>272239.31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1110718.8500000001</v>
      </c>
      <c r="D12" s="20">
        <f>'DOE25'!L204+'DOE25'!L222+'DOE25'!L240-F12-G12</f>
        <v>1095306.6499999999</v>
      </c>
      <c r="E12" s="244"/>
      <c r="F12" s="256">
        <f>'DOE25'!J204+'DOE25'!J222+'DOE25'!J240</f>
        <v>1661.6100000000001</v>
      </c>
      <c r="G12" s="53">
        <f>'DOE25'!K204+'DOE25'!K222+'DOE25'!K240</f>
        <v>13750.59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177364.57</v>
      </c>
      <c r="D13" s="244"/>
      <c r="E13" s="20">
        <f>'DOE25'!L205+'DOE25'!L223+'DOE25'!L241-F13-G13</f>
        <v>176455.69</v>
      </c>
      <c r="F13" s="256">
        <f>'DOE25'!J205+'DOE25'!J223+'DOE25'!J241</f>
        <v>504.87</v>
      </c>
      <c r="G13" s="53">
        <f>'DOE25'!K205+'DOE25'!K223+'DOE25'!K241</f>
        <v>404.01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1832657.1599999997</v>
      </c>
      <c r="D14" s="20">
        <f>'DOE25'!L206+'DOE25'!L224+'DOE25'!L242-F14-G14</f>
        <v>1828536.5599999996</v>
      </c>
      <c r="E14" s="244"/>
      <c r="F14" s="256">
        <f>'DOE25'!J206+'DOE25'!J224+'DOE25'!J242</f>
        <v>4120.6000000000004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1033132.5699999998</v>
      </c>
      <c r="D15" s="20">
        <f>'DOE25'!L207+'DOE25'!L225+'DOE25'!L243-F15-G15</f>
        <v>901392.0399999998</v>
      </c>
      <c r="E15" s="244"/>
      <c r="F15" s="256">
        <f>'DOE25'!J207+'DOE25'!J225+'DOE25'!J243</f>
        <v>125366.48000000001</v>
      </c>
      <c r="G15" s="53">
        <f>'DOE25'!K207+'DOE25'!K225+'DOE25'!K243</f>
        <v>6374.05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1395481.25</v>
      </c>
      <c r="D25" s="244"/>
      <c r="E25" s="244"/>
      <c r="F25" s="259"/>
      <c r="G25" s="257"/>
      <c r="H25" s="258">
        <f>'DOE25'!L259+'DOE25'!L260+'DOE25'!L340+'DOE25'!L341</f>
        <v>1395481.25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349591.9</v>
      </c>
      <c r="D29" s="20">
        <f>'DOE25'!L357+'DOE25'!L358+'DOE25'!L359-'DOE25'!I366-F29-G29</f>
        <v>349528.89</v>
      </c>
      <c r="E29" s="244"/>
      <c r="F29" s="256">
        <f>'DOE25'!J357+'DOE25'!J358+'DOE25'!J359</f>
        <v>0</v>
      </c>
      <c r="G29" s="53">
        <f>'DOE25'!K357+'DOE25'!K358+'DOE25'!K359</f>
        <v>63.01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548310.59</v>
      </c>
      <c r="D31" s="20">
        <f>'DOE25'!L289+'DOE25'!L308+'DOE25'!L327+'DOE25'!L332+'DOE25'!L333+'DOE25'!L334-F31-G31</f>
        <v>531993.54</v>
      </c>
      <c r="E31" s="244"/>
      <c r="F31" s="256">
        <f>'DOE25'!J289+'DOE25'!J308+'DOE25'!J327+'DOE25'!J332+'DOE25'!J333+'DOE25'!J334</f>
        <v>13751.72</v>
      </c>
      <c r="G31" s="53">
        <f>'DOE25'!K289+'DOE25'!K308+'DOE25'!K327+'DOE25'!K332+'DOE25'!K333+'DOE25'!K334</f>
        <v>2565.33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22648594.919999994</v>
      </c>
      <c r="E33" s="247">
        <f>SUM(E5:E31)</f>
        <v>237829.3</v>
      </c>
      <c r="F33" s="247">
        <f>SUM(F5:F31)</f>
        <v>407289.6399999999</v>
      </c>
      <c r="G33" s="247">
        <f>SUM(G5:G31)</f>
        <v>96114.25</v>
      </c>
      <c r="H33" s="247">
        <f>SUM(H5:H31)</f>
        <v>1395481.25</v>
      </c>
    </row>
    <row r="35" spans="2:8" ht="12" thickBot="1" x14ac:dyDescent="0.25">
      <c r="B35" s="254" t="s">
        <v>847</v>
      </c>
      <c r="D35" s="255">
        <f>E33</f>
        <v>237829.3</v>
      </c>
      <c r="E35" s="250"/>
    </row>
    <row r="36" spans="2:8" ht="12" thickTop="1" x14ac:dyDescent="0.2">
      <c r="B36" t="s">
        <v>815</v>
      </c>
      <c r="D36" s="20">
        <f>D33</f>
        <v>22648594.919999994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842789.73</v>
      </c>
      <c r="D8" s="95">
        <f>'DOE25'!G9</f>
        <v>-3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1227663.3400000001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100418.95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26817.53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2482.31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97579.16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940368.89</v>
      </c>
      <c r="D18" s="41">
        <f>SUM(D8:D17)</f>
        <v>102898.26</v>
      </c>
      <c r="E18" s="41">
        <f>SUM(E8:E17)</f>
        <v>26817.53</v>
      </c>
      <c r="F18" s="41">
        <f>SUM(F8:F17)</f>
        <v>0</v>
      </c>
      <c r="G18" s="41">
        <f>SUM(G8:G17)</f>
        <v>1227663.3400000001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108223.37999999999</v>
      </c>
      <c r="D21" s="95">
        <f>'DOE25'!G22</f>
        <v>0</v>
      </c>
      <c r="E21" s="95">
        <f>'DOE25'!H22</f>
        <v>19352.66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340216.93</v>
      </c>
      <c r="D23" s="95">
        <f>'DOE25'!G24</f>
        <v>0</v>
      </c>
      <c r="E23" s="95">
        <f>'DOE25'!H24</f>
        <v>7464.57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112519.72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22480.99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583441.02</v>
      </c>
      <c r="D31" s="41">
        <f>SUM(D21:D30)</f>
        <v>0</v>
      </c>
      <c r="E31" s="41">
        <f>SUM(E21:E30)</f>
        <v>26817.23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102898.26000000001</v>
      </c>
      <c r="E46" s="95">
        <f>'DOE25'!H47</f>
        <v>0</v>
      </c>
      <c r="F46" s="95">
        <f>'DOE25'!I47</f>
        <v>0</v>
      </c>
      <c r="G46" s="95">
        <f>'DOE25'!J47</f>
        <v>1227663.3399999999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0.30000000004656613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356927.87000000104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356927.87000000104</v>
      </c>
      <c r="D49" s="41">
        <f>SUM(D34:D48)</f>
        <v>102898.26000000001</v>
      </c>
      <c r="E49" s="41">
        <f>SUM(E34:E48)</f>
        <v>0.30000000004656613</v>
      </c>
      <c r="F49" s="41">
        <f>SUM(F34:F48)</f>
        <v>0</v>
      </c>
      <c r="G49" s="41">
        <f>SUM(G34:G48)</f>
        <v>1227663.3399999999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940368.89000000106</v>
      </c>
      <c r="D50" s="41">
        <f>D49+D31</f>
        <v>102898.26000000001</v>
      </c>
      <c r="E50" s="41">
        <f>E49+E31</f>
        <v>26817.530000000046</v>
      </c>
      <c r="F50" s="41">
        <f>F49+F31</f>
        <v>0</v>
      </c>
      <c r="G50" s="41">
        <f>G49+G31</f>
        <v>1227663.3399999999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16108390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118482.61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2372.4299999999998</v>
      </c>
      <c r="D58" s="95">
        <f>'DOE25'!G95</f>
        <v>0.2</v>
      </c>
      <c r="E58" s="95">
        <f>'DOE25'!H95</f>
        <v>0</v>
      </c>
      <c r="F58" s="95">
        <f>'DOE25'!I95</f>
        <v>0</v>
      </c>
      <c r="G58" s="95">
        <f>'DOE25'!J95</f>
        <v>42981.57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486585.61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622698.49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743553.53</v>
      </c>
      <c r="D61" s="130">
        <f>SUM(D56:D60)</f>
        <v>486585.81</v>
      </c>
      <c r="E61" s="130">
        <f>SUM(E56:E60)</f>
        <v>0</v>
      </c>
      <c r="F61" s="130">
        <f>SUM(F56:F60)</f>
        <v>0</v>
      </c>
      <c r="G61" s="130">
        <f>SUM(G56:G60)</f>
        <v>42981.57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16851943.530000001</v>
      </c>
      <c r="D62" s="22">
        <f>D55+D61</f>
        <v>486585.81</v>
      </c>
      <c r="E62" s="22">
        <f>E55+E61</f>
        <v>0</v>
      </c>
      <c r="F62" s="22">
        <f>F55+F61</f>
        <v>0</v>
      </c>
      <c r="G62" s="22">
        <f>G55+G61</f>
        <v>42981.57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4078592.17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2257220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3533.83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7424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6346770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306506.84000000003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115346.13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3887.18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31492.38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425740.15</v>
      </c>
      <c r="D77" s="130">
        <f>SUM(D71:D76)</f>
        <v>31492.38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6772510.1500000004</v>
      </c>
      <c r="D80" s="130">
        <f>SUM(D78:D79)+D77+D69</f>
        <v>31492.38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83221.06</v>
      </c>
      <c r="D87" s="95">
        <f>SUM('DOE25'!G152:G160)</f>
        <v>45756.61</v>
      </c>
      <c r="E87" s="95">
        <f>SUM('DOE25'!H152:H160)</f>
        <v>548310.89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83221.06</v>
      </c>
      <c r="D90" s="131">
        <f>SUM(D84:D89)</f>
        <v>45756.61</v>
      </c>
      <c r="E90" s="131">
        <f>SUM(E84:E89)</f>
        <v>548310.89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23707674.739999998</v>
      </c>
      <c r="D103" s="86">
        <f>D62+D80+D90+D102</f>
        <v>563834.80000000005</v>
      </c>
      <c r="E103" s="86">
        <f>E62+E80+E90+E102</f>
        <v>548310.89</v>
      </c>
      <c r="F103" s="86">
        <f>F62+F80+F90+F102</f>
        <v>0</v>
      </c>
      <c r="G103" s="86">
        <f>G62+G80+G102</f>
        <v>42981.57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9999261.6499999985</v>
      </c>
      <c r="D108" s="24" t="s">
        <v>289</v>
      </c>
      <c r="E108" s="95">
        <f>('DOE25'!L275)+('DOE25'!L294)+('DOE25'!L313)</f>
        <v>166487.17000000001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4555865.5600000005</v>
      </c>
      <c r="D109" s="24" t="s">
        <v>289</v>
      </c>
      <c r="E109" s="95">
        <f>('DOE25'!L276)+('DOE25'!L295)+('DOE25'!L314)</f>
        <v>324503.59999999998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36102.9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547846.65999999992</v>
      </c>
      <c r="D111" s="24" t="s">
        <v>289</v>
      </c>
      <c r="E111" s="95">
        <f>+('DOE25'!L278)+('DOE25'!L297)+('DOE25'!L316)</f>
        <v>53686.17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15139076.77</v>
      </c>
      <c r="D114" s="86">
        <f>SUM(D108:D113)</f>
        <v>0</v>
      </c>
      <c r="E114" s="86">
        <f>SUM(E108:E113)</f>
        <v>544676.94000000006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1781480.46</v>
      </c>
      <c r="D117" s="24" t="s">
        <v>289</v>
      </c>
      <c r="E117" s="95">
        <f>+('DOE25'!L280)+('DOE25'!L299)+('DOE25'!L318)</f>
        <v>286.02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972740.94</v>
      </c>
      <c r="D118" s="24" t="s">
        <v>289</v>
      </c>
      <c r="E118" s="95">
        <f>+('DOE25'!L281)+('DOE25'!L300)+('DOE25'!L319)</f>
        <v>3347.63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431004.3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1110718.8500000001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177364.57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1832657.1599999997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1033132.5699999998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555854.54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7339098.8499999996</v>
      </c>
      <c r="D127" s="86">
        <f>SUM(D117:D126)</f>
        <v>555854.54</v>
      </c>
      <c r="E127" s="86">
        <f>SUM(E117:E126)</f>
        <v>3633.65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390481.25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30729.48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12252.09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-42981.57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1395481.25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23873656.869999997</v>
      </c>
      <c r="D144" s="86">
        <f>(D114+D127+D143)</f>
        <v>555854.54</v>
      </c>
      <c r="E144" s="86">
        <f>(E114+E127+E143)</f>
        <v>548310.59000000008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8/15/1996</v>
      </c>
      <c r="C151" s="152" t="str">
        <f>'DOE25'!G490</f>
        <v>7/1/2006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8/20/2016</v>
      </c>
      <c r="C152" s="152" t="str">
        <f>'DOE25'!G491</f>
        <v>7/1/2026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16157528</v>
      </c>
      <c r="C153" s="137">
        <f>'DOE25'!G492</f>
        <v>4027000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5.7</v>
      </c>
      <c r="C154" s="137">
        <f>'DOE25'!G493</f>
        <v>4.4000000000000004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4830000</v>
      </c>
      <c r="C155" s="137">
        <f>'DOE25'!G494</f>
        <v>3200000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8030000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805000</v>
      </c>
      <c r="C157" s="137">
        <f>'DOE25'!G496</f>
        <v>200000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1005000</v>
      </c>
    </row>
    <row r="158" spans="1:9" x14ac:dyDescent="0.2">
      <c r="A158" s="22" t="s">
        <v>35</v>
      </c>
      <c r="B158" s="137">
        <f>'DOE25'!F497</f>
        <v>4025000</v>
      </c>
      <c r="C158" s="137">
        <f>'DOE25'!G497</f>
        <v>3000000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7025000</v>
      </c>
    </row>
    <row r="159" spans="1:9" x14ac:dyDescent="0.2">
      <c r="A159" s="22" t="s">
        <v>36</v>
      </c>
      <c r="B159" s="137">
        <f>'DOE25'!F498</f>
        <v>578593.75</v>
      </c>
      <c r="C159" s="137">
        <f>'DOE25'!G498</f>
        <v>1309261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1887854.75</v>
      </c>
    </row>
    <row r="160" spans="1:9" x14ac:dyDescent="0.2">
      <c r="A160" s="22" t="s">
        <v>37</v>
      </c>
      <c r="B160" s="137">
        <f>'DOE25'!F499</f>
        <v>4603593.75</v>
      </c>
      <c r="C160" s="137">
        <f>'DOE25'!G499</f>
        <v>4309261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8912854.75</v>
      </c>
    </row>
    <row r="161" spans="1:7" x14ac:dyDescent="0.2">
      <c r="A161" s="22" t="s">
        <v>38</v>
      </c>
      <c r="B161" s="137">
        <f>'DOE25'!F500</f>
        <v>805000</v>
      </c>
      <c r="C161" s="137">
        <f>'DOE25'!G500</f>
        <v>200000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1005000</v>
      </c>
    </row>
    <row r="162" spans="1:7" x14ac:dyDescent="0.2">
      <c r="A162" s="22" t="s">
        <v>39</v>
      </c>
      <c r="B162" s="137">
        <f>'DOE25'!F501</f>
        <v>208293.75</v>
      </c>
      <c r="C162" s="137">
        <f>'DOE25'!G501</f>
        <v>127300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335593.75</v>
      </c>
    </row>
    <row r="163" spans="1:7" x14ac:dyDescent="0.2">
      <c r="A163" s="22" t="s">
        <v>246</v>
      </c>
      <c r="B163" s="137">
        <f>'DOE25'!F502</f>
        <v>1013293.75</v>
      </c>
      <c r="C163" s="137">
        <f>'DOE25'!G502</f>
        <v>327300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1340593.75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10" sqref="C1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BOW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15521</v>
      </c>
    </row>
    <row r="5" spans="1:4" x14ac:dyDescent="0.2">
      <c r="B5" t="s">
        <v>704</v>
      </c>
      <c r="C5" s="179">
        <f>IF('DOE25'!G664+'DOE25'!G669=0,0,ROUND('DOE25'!G671,0))</f>
        <v>13528</v>
      </c>
    </row>
    <row r="6" spans="1:4" x14ac:dyDescent="0.2">
      <c r="B6" t="s">
        <v>62</v>
      </c>
      <c r="C6" s="179">
        <f>IF('DOE25'!H664+'DOE25'!H669=0,0,ROUND('DOE25'!H671,0))</f>
        <v>16746</v>
      </c>
    </row>
    <row r="7" spans="1:4" x14ac:dyDescent="0.2">
      <c r="B7" t="s">
        <v>705</v>
      </c>
      <c r="C7" s="179">
        <f>IF('DOE25'!I664+'DOE25'!I669=0,0,ROUND('DOE25'!I671,0))</f>
        <v>15292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10165749</v>
      </c>
      <c r="D10" s="182">
        <f>ROUND((C10/$C$28)*100,1)</f>
        <v>43.3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4880369</v>
      </c>
      <c r="D11" s="182">
        <f>ROUND((C11/$C$28)*100,1)</f>
        <v>20.8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36103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601533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1781766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976089</v>
      </c>
      <c r="D16" s="182">
        <f t="shared" si="0"/>
        <v>4.2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431004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1110719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177365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1832657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1033133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390481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69269.390000000014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23486237.390000001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23486237.390000001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1005000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16108390</v>
      </c>
      <c r="D35" s="182">
        <f t="shared" ref="D35:D40" si="1">ROUND((C35/$C$41)*100,1)</f>
        <v>66.099999999999994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786535.30000000075</v>
      </c>
      <c r="D36" s="182">
        <f t="shared" si="1"/>
        <v>3.2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6339346</v>
      </c>
      <c r="D37" s="182">
        <f t="shared" si="1"/>
        <v>26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464657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677289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24376217.300000001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BOW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4</v>
      </c>
      <c r="B4" s="220">
        <v>4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2012-08-23T12:30:52Z</cp:lastPrinted>
  <dcterms:created xsi:type="dcterms:W3CDTF">1997-12-04T19:04:30Z</dcterms:created>
  <dcterms:modified xsi:type="dcterms:W3CDTF">2012-11-21T14:16:31Z</dcterms:modified>
</cp:coreProperties>
</file>