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G33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62" i="2" s="1"/>
  <c r="G103" i="2" s="1"/>
  <c r="G58" i="2"/>
  <c r="G60" i="2"/>
  <c r="F2" i="11"/>
  <c r="L612" i="1"/>
  <c r="H662" i="1" s="1"/>
  <c r="L611" i="1"/>
  <c r="G662" i="1" s="1"/>
  <c r="L610" i="1"/>
  <c r="F662" i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/>
  <c r="J110" i="1"/>
  <c r="J111" i="1"/>
  <c r="F120" i="1"/>
  <c r="F135" i="1"/>
  <c r="F139" i="1" s="1"/>
  <c r="G120" i="1"/>
  <c r="G135" i="1"/>
  <c r="G139" i="1" s="1"/>
  <c r="H120" i="1"/>
  <c r="H135" i="1"/>
  <c r="I120" i="1"/>
  <c r="I135" i="1"/>
  <c r="J120" i="1"/>
  <c r="J135" i="1"/>
  <c r="F146" i="1"/>
  <c r="F161" i="1"/>
  <c r="G146" i="1"/>
  <c r="G161" i="1"/>
  <c r="G168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J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28" i="1"/>
  <c r="F533" i="1"/>
  <c r="G523" i="1"/>
  <c r="H523" i="1"/>
  <c r="I523" i="1"/>
  <c r="J523" i="1"/>
  <c r="K523" i="1"/>
  <c r="L523" i="1"/>
  <c r="G528" i="1"/>
  <c r="H528" i="1"/>
  <c r="I528" i="1"/>
  <c r="J528" i="1"/>
  <c r="K528" i="1"/>
  <c r="L528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I597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J641" i="1" s="1"/>
  <c r="G642" i="1"/>
  <c r="H642" i="1"/>
  <c r="G643" i="1"/>
  <c r="H643" i="1"/>
  <c r="G644" i="1"/>
  <c r="H644" i="1"/>
  <c r="H646" i="1"/>
  <c r="G649" i="1"/>
  <c r="H649" i="1"/>
  <c r="G650" i="1"/>
  <c r="G651" i="1"/>
  <c r="H651" i="1"/>
  <c r="J651" i="1" s="1"/>
  <c r="G652" i="1"/>
  <c r="H652" i="1"/>
  <c r="J652" i="1" s="1"/>
  <c r="G653" i="1"/>
  <c r="H653" i="1"/>
  <c r="J653" i="1" s="1"/>
  <c r="H654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59" i="2"/>
  <c r="C18" i="2"/>
  <c r="F31" i="2"/>
  <c r="C26" i="10"/>
  <c r="L327" i="1"/>
  <c r="H659" i="1"/>
  <c r="H663" i="1" s="1"/>
  <c r="L350" i="1"/>
  <c r="I661" i="1"/>
  <c r="L289" i="1"/>
  <c r="F659" i="1"/>
  <c r="A31" i="12"/>
  <c r="C69" i="2"/>
  <c r="A40" i="12"/>
  <c r="D12" i="13"/>
  <c r="C12" i="13" s="1"/>
  <c r="G8" i="2"/>
  <c r="G161" i="2"/>
  <c r="D61" i="2"/>
  <c r="D62" i="2" s="1"/>
  <c r="E49" i="2"/>
  <c r="D18" i="13"/>
  <c r="C18" i="13"/>
  <c r="D15" i="13"/>
  <c r="C15" i="13"/>
  <c r="D7" i="13"/>
  <c r="F102" i="2"/>
  <c r="D18" i="2"/>
  <c r="E18" i="2"/>
  <c r="D17" i="13"/>
  <c r="C17" i="13"/>
  <c r="D6" i="13"/>
  <c r="C6" i="13"/>
  <c r="E8" i="13"/>
  <c r="C8" i="13"/>
  <c r="G158" i="2"/>
  <c r="C90" i="2"/>
  <c r="G80" i="2"/>
  <c r="F77" i="2"/>
  <c r="F80" i="2" s="1"/>
  <c r="F61" i="2"/>
  <c r="F62" i="2" s="1"/>
  <c r="F103" i="2" s="1"/>
  <c r="D31" i="2"/>
  <c r="C127" i="2"/>
  <c r="C77" i="2"/>
  <c r="D49" i="2"/>
  <c r="G156" i="2"/>
  <c r="F49" i="2"/>
  <c r="F50" i="2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/>
  <c r="C61" i="2"/>
  <c r="C62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C80" i="2"/>
  <c r="E77" i="2"/>
  <c r="E80" i="2"/>
  <c r="L426" i="1"/>
  <c r="J256" i="1"/>
  <c r="H111" i="1"/>
  <c r="F111" i="1"/>
  <c r="J640" i="1"/>
  <c r="J638" i="1"/>
  <c r="K604" i="1"/>
  <c r="G647" i="1" s="1"/>
  <c r="J647" i="1" s="1"/>
  <c r="J570" i="1"/>
  <c r="K570" i="1"/>
  <c r="L432" i="1"/>
  <c r="L418" i="1"/>
  <c r="L433" i="1" s="1"/>
  <c r="G637" i="1" s="1"/>
  <c r="J637" i="1" s="1"/>
  <c r="D80" i="2"/>
  <c r="I168" i="1"/>
  <c r="H168" i="1"/>
  <c r="J270" i="1"/>
  <c r="H647" i="1"/>
  <c r="G551" i="1"/>
  <c r="E50" i="2"/>
  <c r="J643" i="1"/>
  <c r="J642" i="1"/>
  <c r="J475" i="1"/>
  <c r="H625" i="1"/>
  <c r="H475" i="1"/>
  <c r="H623" i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F192" i="1" s="1"/>
  <c r="G626" i="1" s="1"/>
  <c r="J626" i="1" s="1"/>
  <c r="J139" i="1"/>
  <c r="F570" i="1"/>
  <c r="H256" i="1"/>
  <c r="H270" i="1"/>
  <c r="F663" i="1"/>
  <c r="F671" i="1" s="1"/>
  <c r="C4" i="10" s="1"/>
  <c r="G12" i="2"/>
  <c r="I551" i="1"/>
  <c r="K548" i="1"/>
  <c r="K549" i="1"/>
  <c r="G22" i="2"/>
  <c r="G31" i="2"/>
  <c r="J32" i="1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/>
  <c r="F337" i="1"/>
  <c r="F351" i="1" s="1"/>
  <c r="G191" i="1"/>
  <c r="H191" i="1"/>
  <c r="E127" i="2"/>
  <c r="E144" i="2" s="1"/>
  <c r="F551" i="1"/>
  <c r="C35" i="10"/>
  <c r="C36" i="10" s="1"/>
  <c r="L308" i="1"/>
  <c r="D5" i="13"/>
  <c r="E16" i="13"/>
  <c r="C49" i="2"/>
  <c r="C50" i="2" s="1"/>
  <c r="J654" i="1"/>
  <c r="J644" i="1"/>
  <c r="J192" i="1"/>
  <c r="H666" i="1"/>
  <c r="H671" i="1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/>
  <c r="G544" i="1"/>
  <c r="L544" i="1"/>
  <c r="H544" i="1"/>
  <c r="K550" i="1"/>
  <c r="K551" i="1" s="1"/>
  <c r="F143" i="2"/>
  <c r="F144" i="2" s="1"/>
  <c r="C5" i="13"/>
  <c r="C22" i="13"/>
  <c r="F33" i="13"/>
  <c r="C137" i="2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G630" i="1"/>
  <c r="J630" i="1" s="1"/>
  <c r="G645" i="1"/>
  <c r="G625" i="1"/>
  <c r="J625" i="1" s="1"/>
  <c r="J51" i="1"/>
  <c r="H620" i="1" s="1"/>
  <c r="G636" i="1"/>
  <c r="J636" i="1" s="1"/>
  <c r="H645" i="1"/>
  <c r="D33" i="13"/>
  <c r="D36" i="13" s="1"/>
  <c r="G663" i="1"/>
  <c r="G666" i="1" s="1"/>
  <c r="I659" i="1"/>
  <c r="G671" i="1"/>
  <c r="G16" i="2" l="1"/>
  <c r="J19" i="1"/>
  <c r="G620" i="1" s="1"/>
  <c r="D50" i="2"/>
  <c r="D103" i="2"/>
  <c r="J649" i="1"/>
  <c r="G570" i="1"/>
  <c r="I433" i="1"/>
  <c r="H433" i="1"/>
  <c r="G433" i="1"/>
  <c r="J645" i="1"/>
  <c r="G192" i="1"/>
  <c r="G627" i="1" s="1"/>
  <c r="J627" i="1" s="1"/>
  <c r="G18" i="2"/>
  <c r="F544" i="1"/>
  <c r="I139" i="1"/>
  <c r="I192" i="1" s="1"/>
  <c r="G629" i="1" s="1"/>
  <c r="J629" i="1" s="1"/>
  <c r="A22" i="12"/>
  <c r="C140" i="2"/>
  <c r="C143" i="2" s="1"/>
  <c r="C144" i="2" s="1"/>
  <c r="J620" i="1"/>
  <c r="J648" i="1"/>
  <c r="I662" i="1"/>
  <c r="I663" i="1" s="1"/>
  <c r="G163" i="2"/>
  <c r="C27" i="10"/>
  <c r="G634" i="1"/>
  <c r="J634" i="1" s="1"/>
  <c r="C38" i="10" l="1"/>
  <c r="I671" i="1"/>
  <c r="C7" i="10" s="1"/>
  <c r="I666" i="1"/>
  <c r="H655" i="1"/>
  <c r="C28" i="10"/>
  <c r="C41" i="10" l="1"/>
  <c r="D38" i="10" s="1"/>
  <c r="D23" i="10"/>
  <c r="D24" i="10"/>
  <c r="D22" i="10"/>
  <c r="D26" i="10"/>
  <c r="D18" i="10"/>
  <c r="D13" i="10"/>
  <c r="D20" i="10"/>
  <c r="D10" i="10"/>
  <c r="D25" i="10"/>
  <c r="C30" i="10"/>
  <c r="D17" i="10"/>
  <c r="D11" i="10"/>
  <c r="D15" i="10"/>
  <c r="D19" i="10"/>
  <c r="D16" i="10"/>
  <c r="D12" i="10"/>
  <c r="D21" i="10"/>
  <c r="D27" i="10"/>
  <c r="D36" i="10" l="1"/>
  <c r="D37" i="10"/>
  <c r="D35" i="10"/>
  <c r="D39" i="10"/>
  <c r="D40" i="10"/>
  <c r="D2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<sst xmlns="http://schemas.openxmlformats.org/spreadsheetml/2006/main" count="3947" uniqueCount="912">
  <si>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</si>
  <si>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</si>
  <si>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</si>
  <si>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</si>
  <si>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</si>
  <si>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</si>
  <si>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</si>
  <si>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</si>
  <si>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</si>
  <si>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</si>
  <si>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</si>
  <si>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</si>
  <si>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</si>
  <si>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</si>
  <si>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</si>
  <si>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</si>
  <si>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</si>
  <si>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</si>
  <si>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</si>
  <si>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</si>
  <si>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</si>
  <si>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</si>
  <si>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</si>
  <si>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</si>
  <si>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</si>
  <si>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</si>
  <si>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</si>
  <si>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</si>
  <si>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</si>
  <si>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</si>
  <si>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</si>
  <si>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</si>
  <si>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</si>
  <si>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</si>
  <si>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</si>
  <si>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</si>
  <si>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</si>
  <si>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</si>
  <si>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</si>
  <si>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</si>
  <si>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</si>
  <si>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</si>
  <si>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</si>
  <si>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</si>
  <si>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</si>
  <si>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</si>
  <si>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</si>
  <si>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</si>
  <si>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</si>
  <si>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</si>
  <si>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</si>
  <si>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</si>
  <si>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</si>
  <si>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</si>
  <si>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</si>
  <si>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</si>
  <si>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</si>
  <si>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</si>
  <si>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</si>
  <si>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</si>
  <si>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</si>
  <si>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</si>
  <si>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</si>
  <si>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</si>
  <si>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</si>
  <si>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</si>
  <si>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</si>
  <si>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</si>
  <si>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</si>
  <si>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</si>
  <si>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</si>
  <si>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</si>
  <si>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</si>
  <si>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</si>
  <si>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</si>
  <si>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</si>
  <si>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</si>
  <si>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</si>
  <si>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</si>
  <si>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</si>
  <si>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</si>
  <si>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</si>
  <si>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</si>
  <si>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</si>
  <si>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</si>
  <si>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</si>
  <si>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</si>
  <si>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</si>
  <si>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</si>
  <si>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</si>
  <si>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</si>
  <si>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</si>
  <si>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</si>
  <si>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</si>
  <si>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</si>
  <si>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</si>
  <si>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</si>
  <si>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</si>
  <si>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</si>
  <si>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</si>
  <si>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</si>
  <si>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</si>
  <si>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</si>
  <si>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</si>
  <si>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</si>
  <si>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</si>
  <si>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</si>
  <si>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</si>
  <si>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</si>
  <si>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</si>
  <si>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</si>
  <si>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</si>
  <si>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</si>
  <si>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</si>
  <si>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</si>
  <si>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</si>
  <si>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</si>
  <si>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</si>
  <si>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</si>
  <si>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</si>
  <si>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</si>
  <si>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</si>
  <si>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</si>
  <si>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</si>
  <si>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</si>
  <si>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</si>
  <si>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</si>
  <si>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</si>
  <si>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</si>
  <si>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</si>
  <si>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</si>
  <si>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</si>
  <si>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</si>
  <si>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</si>
  <si>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</si>
  <si>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</si>
  <si>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</si>
  <si>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</si>
  <si>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</si>
  <si>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</si>
  <si>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</si>
  <si>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</si>
  <si>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</si>
  <si>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</si>
  <si>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</si>
  <si>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</si>
  <si>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</si>
  <si>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</si>
  <si>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</si>
  <si>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</si>
  <si>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</si>
  <si>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</si>
  <si>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</si>
  <si>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</si>
  <si>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</si>
  <si>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</si>
  <si>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</si>
  <si>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</si>
  <si>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</si>
  <si>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</si>
  <si>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</si>
  <si>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</si>
  <si>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</si>
  <si>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</si>
  <si>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</si>
  <si>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</si>
  <si>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</si>
  <si>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</si>
  <si>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</si>
  <si>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</si>
  <si>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</si>
  <si>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</si>
  <si>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</si>
  <si>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</si>
  <si>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</si>
  <si>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</si>
  <si>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</si>
  <si>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</si>
  <si>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</si>
  <si>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</si>
  <si>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</si>
  <si>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</si>
  <si>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</si>
  <si>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</si>
  <si>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</si>
  <si>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</si>
  <si>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</si>
  <si>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</si>
  <si>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</si>
  <si>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</si>
  <si>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</si>
  <si>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</si>
  <si>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</si>
  <si>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</si>
  <si>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</si>
  <si>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</si>
  <si>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</si>
  <si>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</si>
  <si>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</si>
  <si>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</si>
  <si>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</si>
  <si>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</si>
  <si>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</si>
  <si>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</si>
  <si>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</si>
  <si>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</si>
  <si>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</si>
  <si>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</si>
  <si>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</si>
  <si>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</si>
  <si>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</si>
  <si>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</si>
  <si>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</si>
  <si>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</si>
  <si>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</si>
  <si>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</si>
  <si>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</si>
  <si>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</si>
  <si>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</si>
  <si>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</si>
  <si>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</si>
  <si>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</si>
  <si>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</si>
  <si>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</si>
  <si>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</si>
  <si>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</si>
  <si>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</si>
  <si>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</si>
  <si>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</si>
  <si>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</si>
  <si>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</si>
  <si>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</si>
  <si>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</si>
  <si>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</si>
  <si>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</si>
  <si>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</si>
  <si>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</si>
  <si>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</si>
  <si>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</si>
  <si>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</si>
  <si>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</si>
  <si>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</si>
  <si>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</si>
  <si>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</si>
  <si>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</si>
  <si>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</si>
  <si>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</si>
  <si>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</si>
  <si>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</si>
  <si>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</si>
  <si>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</si>
  <si>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</si>
  <si>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</si>
  <si>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</si>
  <si>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</si>
  <si>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</si>
  <si>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</si>
  <si>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</si>
  <si>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</si>
  <si>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</si>
  <si>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</si>
  <si>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</si>
  <si>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</si>
  <si>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</si>
  <si>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</si>
  <si>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</si>
  <si>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</si>
  <si>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</si>
  <si>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</si>
  <si>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</si>
  <si>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</si>
  <si>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</si>
  <si>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</si>
  <si>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</si>
  <si>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</si>
  <si>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</si>
  <si>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</si>
  <si>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</si>
  <si>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</si>
  <si>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</si>
  <si>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</si>
  <si>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</si>
  <si>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</si>
  <si>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</si>
  <si>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</si>
  <si>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</si>
  <si>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</si>
  <si>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</si>
  <si>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</si>
  <si>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</si>
  <si>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</si>
  <si>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</si>
  <si>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</si>
  <si>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</si>
  <si>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</si>
  <si>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</si>
  <si>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</si>
  <si>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</si>
  <si>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</si>
  <si>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</si>
  <si>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</si>
  <si>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</si>
  <si>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</si>
  <si>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</si>
  <si>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</si>
  <si>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</si>
  <si>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</si>
  <si>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</si>
  <si>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</si>
  <si>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</si>
  <si>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</si>
  <si>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</si>
  <si>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</si>
  <si>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</si>
  <si>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</si>
  <si>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</si>
  <si>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</si>
  <si>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</si>
  <si>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</si>
  <si>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</si>
  <si>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</si>
  <si>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</si>
  <si>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</si>
  <si>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</si>
  <si>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</si>
  <si>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</si>
  <si>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</si>
  <si>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</si>
  <si>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</si>
  <si>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</si>
  <si>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</si>
  <si>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</si>
  <si>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</si>
  <si>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</si>
  <si>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</si>
  <si>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</si>
  <si>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</si>
  <si>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</si>
  <si>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</si>
  <si>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</si>
  <si>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</si>
  <si>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</si>
  <si>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</si>
  <si>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</si>
  <si>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</si>
  <si>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</si>
  <si>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</si>
  <si>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</si>
  <si>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</si>
  <si>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</si>
  <si>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</si>
  <si>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</si>
  <si>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</si>
  <si>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</si>
  <si>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</si>
  <si>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</si>
  <si>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</si>
  <si>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</si>
  <si>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</si>
  <si>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</si>
  <si>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</si>
  <si>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</si>
  <si>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</si>
  <si>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</si>
  <si>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</si>
  <si>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</si>
  <si>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</si>
  <si>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</si>
  <si>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</si>
  <si>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</si>
  <si>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</si>
  <si>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</si>
  <si>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</si>
  <si>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</si>
  <si>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</si>
  <si>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</si>
  <si>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</si>
  <si>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</si>
  <si>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</si>
  <si>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</si>
  <si>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</si>
  <si>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</si>
  <si>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</si>
  <si>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</si>
  <si>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</si>
  <si>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</si>
  <si>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</si>
  <si>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</si>
  <si>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</si>
  <si>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</si>
  <si>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</si>
  <si>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</si>
  <si>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</si>
  <si>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</si>
  <si>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</si>
  <si>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</si>
  <si>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</si>
  <si>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</si>
  <si>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</si>
  <si>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</si>
  <si>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</si>
  <si>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</si>
  <si>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</si>
  <si>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</si>
  <si>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</si>
  <si>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</si>
  <si>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</si>
  <si>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</si>
  <si>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</si>
  <si>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</si>
  <si>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</si>
  <si>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</si>
  <si>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</si>
  <si>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</si>
  <si>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</si>
  <si>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</si>
  <si>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</si>
  <si>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</si>
  <si>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</si>
  <si>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</si>
  <si>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</si>
  <si>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</si>
  <si>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</si>
  <si>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</si>
  <si>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</si>
  <si>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</si>
  <si>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</si>
  <si>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</si>
  <si>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</si>
  <si>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</si>
  <si>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</si>
  <si>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</si>
  <si>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</si>
  <si>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</si>
  <si>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</si>
  <si>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</si>
  <si>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</si>
  <si>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</si>
  <si>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</si>
  <si>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</si>
  <si>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</si>
  <si>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</si>
  <si>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</si>
  <si>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</si>
  <si>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</si>
  <si>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</si>
  <si>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</si>
  <si>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</si>
  <si>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</si>
  <si>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</si>
  <si>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</si>
  <si>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</si>
  <si>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</si>
  <si>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</si>
  <si>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</si>
  <si>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</si>
  <si>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</si>
  <si>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</si>
  <si>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</si>
  <si>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</si>
  <si>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</si>
  <si>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</si>
  <si>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</si>
  <si>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</si>
  <si>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</si>
  <si>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</si>
  <si>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</si>
  <si>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</si>
  <si>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</si>
  <si>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</si>
  <si>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</si>
  <si>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</si>
  <si>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</si>
  <si>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</si>
  <si>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</si>
  <si>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</si>
  <si>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</si>
  <si>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</si>
  <si>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</si>
  <si>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</si>
  <si>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</si>
  <si>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</si>
  <si>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</si>
  <si>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</si>
  <si>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</si>
  <si>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</si>
  <si>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</si>
  <si>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</si>
  <si>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</si>
  <si>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</si>
  <si>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</si>
  <si>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</si>
  <si>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</si>
  <si>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</si>
  <si>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</si>
  <si>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</si>
  <si>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</si>
  <si>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</si>
  <si>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</si>
  <si>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</si>
  <si>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</si>
  <si>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</si>
  <si>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</si>
  <si>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</si>
  <si>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</si>
  <si>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</si>
  <si>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</si>
  <si>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</si>
  <si>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</si>
  <si>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</si>
  <si>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</si>
  <si>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</si>
  <si>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</si>
  <si>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</si>
  <si>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</si>
  <si>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</si>
  <si>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</si>
  <si>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</si>
  <si>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</si>
  <si>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</si>
  <si>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</si>
  <si>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</si>
  <si>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</si>
  <si>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</si>
  <si>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</si>
  <si>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</si>
  <si>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</si>
  <si>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</si>
  <si>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</si>
  <si>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</si>
  <si>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</si>
  <si>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</si>
  <si>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</si>
  <si>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</si>
  <si>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</si>
  <si>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</si>
  <si>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</si>
  <si>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</si>
  <si>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</si>
  <si>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</si>
  <si>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</si>
  <si>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</si>
  <si>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</si>
  <si>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</si>
  <si>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</si>
  <si>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</si>
  <si>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</si>
  <si>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</si>
  <si>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</si>
  <si>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</si>
  <si>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</si>
  <si>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</si>
  <si>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</si>
  <si>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</si>
  <si>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</si>
  <si>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</si>
  <si>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</si>
  <si>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</si>
  <si>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</si>
  <si>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</si>
  <si>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</si>
  <si>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</si>
  <si>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</si>
  <si>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</si>
  <si>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</si>
  <si>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</si>
  <si>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</si>
  <si>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</si>
  <si>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</si>
  <si>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</si>
  <si>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</si>
  <si>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</si>
  <si>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</si>
  <si>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</si>
  <si>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</si>
  <si>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</si>
  <si>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</si>
  <si>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</si>
  <si>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</si>
  <si>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</si>
  <si>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</si>
  <si>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</si>
  <si>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</si>
  <si>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</si>
  <si>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</si>
  <si>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</si>
  <si>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</si>
  <si>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</si>
  <si>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</si>
  <si>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</si>
  <si>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</si>
  <si>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</si>
  <si>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</si>
  <si>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</si>
  <si>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</si>
  <si>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</si>
  <si>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</si>
  <si>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</si>
  <si>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</si>
  <si>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</si>
  <si>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</si>
  <si>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</si>
  <si>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</si>
  <si>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</si>
  <si>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</si>
  <si>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</si>
  <si>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</si>
  <si>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</si>
  <si>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</si>
  <si>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</si>
  <si>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</si>
  <si>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</si>
  <si>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</si>
  <si>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</si>
  <si>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</si>
  <si>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</si>
  <si>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</si>
  <si>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</si>
  <si>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</si>
  <si>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</si>
  <si>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</si>
  <si>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</si>
  <si>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</si>
  <si>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</si>
  <si>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</si>
  <si>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</si>
  <si>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</si>
  <si>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</si>
  <si>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</si>
  <si>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</si>
  <si>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</si>
  <si>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</si>
  <si>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</si>
  <si>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</si>
  <si>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</si>
  <si>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</si>
  <si>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</si>
  <si>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</si>
  <si>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</si>
  <si>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</si>
  <si>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</si>
  <si>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</si>
  <si>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</si>
  <si>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</si>
  <si>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</si>
  <si>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</si>
  <si>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</si>
  <si>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</si>
  <si>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</si>
  <si>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</si>
  <si>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</si>
  <si>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</si>
  <si>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</si>
  <si>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</si>
  <si>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</si>
  <si>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</si>
  <si>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</si>
  <si>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</si>
  <si>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</si>
  <si>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</si>
  <si>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</si>
  <si>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</si>
  <si>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</si>
  <si>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</si>
  <si>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</si>
  <si>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</si>
  <si>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</si>
  <si>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</si>
  <si>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</si>
  <si>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</si>
  <si>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</si>
  <si>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</si>
  <si>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</si>
  <si>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</si>
  <si>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</si>
  <si>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</si>
  <si>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</si>
  <si>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</si>
  <si>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</si>
  <si>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</si>
  <si>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</si>
  <si>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</si>
  <si>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</si>
  <si>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</si>
  <si>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</si>
  <si>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</si>
  <si>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</si>
  <si>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</si>
  <si>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</si>
  <si>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</si>
  <si>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</si>
  <si>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</si>
  <si>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</si>
  <si>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</si>
  <si>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</si>
  <si>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</si>
  <si>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</si>
  <si>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</si>
  <si>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</si>
  <si>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</si>
  <si>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</si>
  <si>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</si>
  <si>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</si>
  <si>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</si>
  <si>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</si>
  <si>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</si>
  <si>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</si>
  <si>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</si>
  <si>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</si>
  <si>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</si>
  <si>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</si>
  <si>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</si>
  <si>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</si>
  <si>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</si>
  <si>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</si>
  <si>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</si>
  <si>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</si>
  <si>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</si>
  <si>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</si>
  <si>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</si>
  <si>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</si>
  <si>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</si>
  <si>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</si>
  <si>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</si>
  <si>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</si>
  <si>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</si>
  <si>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</si>
  <si>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</si>
  <si>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</si>
  <si>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</si>
  <si>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</si>
  <si>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</si>
  <si>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</si>
  <si>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</si>
  <si>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</si>
  <si>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</si>
  <si>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</si>
  <si>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</si>
  <si>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</si>
  <si>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</si>
  <si>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</si>
  <si>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</si>
  <si>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</si>
  <si>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</si>
  <si>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</si>
  <si>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</si>
  <si>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</si>
  <si>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</si>
  <si>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</si>
  <si>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</si>
  <si>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</si>
  <si>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</si>
  <si>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</si>
  <si>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</si>
  <si>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</si>
  <si>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</si>
  <si>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</si>
  <si>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</si>
  <si>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</si>
  <si>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</si>
  <si>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</si>
  <si>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</si>
  <si>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</si>
  <si>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</si>
  <si>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</si>
  <si>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</si>
  <si>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</si>
  <si>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</si>
  <si>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</si>
  <si>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</si>
  <si>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</si>
  <si>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</si>
  <si>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</si>
  <si>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</si>
  <si>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</si>
  <si>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</si>
  <si>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</si>
  <si>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</si>
  <si>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</si>
  <si>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</si>
  <si>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</si>
  <si>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</si>
  <si>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</si>
  <si>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</si>
  <si>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</si>
  <si>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</si>
  <si>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</si>
  <si>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</si>
  <si>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</si>
  <si>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</si>
  <si>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</si>
  <si>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</si>
  <si>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</si>
  <si>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</si>
  <si>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</si>
  <si>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</si>
  <si>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</si>
  <si>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</si>
  <si>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</si>
  <si>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</si>
  <si>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</si>
  <si>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</si>
  <si>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</si>
  <si>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</si>
  <si>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</si>
  <si>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</si>
  <si>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</si>
  <si>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</si>
  <si>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</si>
  <si>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</si>
  <si>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</si>
  <si>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</si>
  <si>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</si>
  <si>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</si>
  <si>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</si>
  <si>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</si>
  <si>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</si>
  <si>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</si>
  <si>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</si>
  <si>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</si>
  <si>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</si>
  <si>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</si>
  <si>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</si>
  <si>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</si>
  <si>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</si>
  <si>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</si>
  <si>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</si>
  <si>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</si>
  <si>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</si>
  <si>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</si>
  <si>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</si>
  <si>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</si>
  <si>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</si>
  <si>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</si>
  <si>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</si>
  <si>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</si>
  <si>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</si>
  <si>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</si>
  <si>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</si>
  <si>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</si>
  <si>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</si>
  <si>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</si>
  <si>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</si>
  <si>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</si>
  <si>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</si>
  <si>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</si>
  <si>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</si>
  <si>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</si>
  <si>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</si>
  <si>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</si>
  <si>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</si>
  <si>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</si>
  <si>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</si>
  <si>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</si>
  <si>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</si>
  <si>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</si>
  <si>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</si>
  <si>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</si>
  <si>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</si>
  <si>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</si>
  <si>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</si>
  <si>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</si>
  <si>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</si>
  <si>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</si>
  <si>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</si>
  <si>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</si>
  <si>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</si>
  <si>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</si>
  <si>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</si>
  <si>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</si>
  <si>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</si>
  <si>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</si>
  <si>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</si>
  <si>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</si>
  <si>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</si>
  <si>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</si>
  <si>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</si>
  <si>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</si>
  <si>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</si>
  <si>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</si>
  <si>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</si>
  <si>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</si>
  <si>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</si>
  <si>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</si>
  <si>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</si>
  <si>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</si>
  <si>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</si>
  <si>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</si>
  <si>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</si>
  <si>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</si>
  <si>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</si>
  <si>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</si>
  <si>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</si>
  <si>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</si>
  <si>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</si>
  <si>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</si>
  <si>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</si>
  <si>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</si>
  <si>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</si>
  <si>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</si>
  <si>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</si>
  <si>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</si>
  <si>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</si>
  <si>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</si>
  <si>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</si>
  <si>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</si>
  <si>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</si>
  <si>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</si>
  <si>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</si>
  <si>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Brentwood School District</t>
  </si>
  <si>
    <t>08/01</t>
  </si>
  <si>
    <t>08/21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</si>
</sst>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540" sqref="I54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63</v>
      </c>
      <c r="C2" s="21">
        <v>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214411.29</v>
      </c>
      <c r="G9" s="18"/>
      <c r="H9" s="18"/>
      <c r="I9" s="18"/>
      <c r="J9" s="67">
        <f>SUM(I438)</f>
        <v>460530.35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231048.58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17495.080000000002</v>
      </c>
      <c r="G14" s="18">
        <v>4227.17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4399.49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462954.95</v>
      </c>
      <c r="G19" s="41">
        <f>SUM(G9:G18)</f>
        <v>8626.66</v>
      </c>
      <c r="H19" s="41">
        <f>SUM(H9:H18)</f>
        <v>0</v>
      </c>
      <c r="I19" s="41">
        <f>SUM(I9:I18)</f>
        <v>0</v>
      </c>
      <c r="J19" s="41">
        <f>SUM(J9:J18)</f>
        <v>460530.35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27801.14</v>
      </c>
      <c r="G22" s="18">
        <v>-10478.99</v>
      </c>
      <c r="H22" s="18">
        <v>-17322.150000000001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197297.69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626.51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17300.37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3202.21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246227.92</v>
      </c>
      <c r="G32" s="41">
        <f>SUM(G22:G31)</f>
        <v>-10478.99</v>
      </c>
      <c r="H32" s="41">
        <f>SUM(H22:H31)</f>
        <v>-17322.150000000001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19105.650000000001</v>
      </c>
      <c r="H47" s="18">
        <v>17322.150000000001</v>
      </c>
      <c r="I47" s="18"/>
      <c r="J47" s="13">
        <f>SUM(I458)</f>
        <v>460530.35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216727.03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216727.03</v>
      </c>
      <c r="G50" s="41">
        <f>SUM(G35:G49)</f>
        <v>19105.650000000001</v>
      </c>
      <c r="H50" s="41">
        <f>SUM(H35:H49)</f>
        <v>17322.150000000001</v>
      </c>
      <c r="I50" s="41">
        <f>SUM(I35:I49)</f>
        <v>0</v>
      </c>
      <c r="J50" s="41">
        <f>SUM(J35:J49)</f>
        <v>460530.35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462954.95</v>
      </c>
      <c r="G51" s="41">
        <f>G50+G32</f>
        <v>8626.6600000000017</v>
      </c>
      <c r="H51" s="41">
        <f>H50+H32</f>
        <v>0</v>
      </c>
      <c r="I51" s="41">
        <f>I50+I32</f>
        <v>0</v>
      </c>
      <c r="J51" s="41">
        <f>J50+J32</f>
        <v>460530.35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3265756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3265756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15449.95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15449.95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310.23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87870.5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>
        <v>15872.5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2000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7339.4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7649.6299999999992</v>
      </c>
      <c r="G110" s="41">
        <f>SUM(G95:G109)</f>
        <v>87870.5</v>
      </c>
      <c r="H110" s="41">
        <f>SUM(H95:H109)</f>
        <v>17872.5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3288855.58</v>
      </c>
      <c r="G111" s="41">
        <f>G59+G110</f>
        <v>87870.5</v>
      </c>
      <c r="H111" s="41">
        <f>H59+H78+H93+H110</f>
        <v>17872.5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841546.86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488597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729.14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1330872.9999999998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87114.1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1244.9100000000001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87114.1</v>
      </c>
      <c r="G135" s="41">
        <f>SUM(G122:G134)</f>
        <v>1244.9100000000001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1417987.0999999999</v>
      </c>
      <c r="G139" s="41">
        <f>G120+SUM(G135:G136)</f>
        <v>1244.9100000000001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28581.19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28581.19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22800.65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66587.570000000007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66587.570000000007</v>
      </c>
      <c r="G161" s="41">
        <f>SUM(G149:G160)</f>
        <v>22800.65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95168.760000000009</v>
      </c>
      <c r="G168" s="41">
        <f>G146+G161+SUM(G162:G167)</f>
        <v>22800.65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100000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100000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261508.64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261508.64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261508.64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100000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5063520.0799999991</v>
      </c>
      <c r="G192" s="47">
        <f>G111+G139+G168+G191</f>
        <v>111916.06</v>
      </c>
      <c r="H192" s="47">
        <f>H111+H139+H168+H191</f>
        <v>17872.5</v>
      </c>
      <c r="I192" s="47">
        <f>I111+I139+I168+I191</f>
        <v>0</v>
      </c>
      <c r="J192" s="47">
        <f>J111+J139+J191</f>
        <v>100000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1582157.84</v>
      </c>
      <c r="G196" s="18">
        <v>569021.09</v>
      </c>
      <c r="H196" s="18">
        <v>359</v>
      </c>
      <c r="I196" s="18">
        <v>63759.26</v>
      </c>
      <c r="J196" s="18">
        <v>1358.08</v>
      </c>
      <c r="K196" s="18"/>
      <c r="L196" s="19">
        <f>SUM(F196:K196)</f>
        <v>2216655.27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427463.28</v>
      </c>
      <c r="G197" s="18">
        <v>136262.91</v>
      </c>
      <c r="H197" s="18">
        <v>1371.72</v>
      </c>
      <c r="I197" s="18">
        <v>4084.28</v>
      </c>
      <c r="J197" s="18">
        <v>1584.17</v>
      </c>
      <c r="K197" s="18"/>
      <c r="L197" s="19">
        <f>SUM(F197:K197)</f>
        <v>570766.3600000001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6318.63</v>
      </c>
      <c r="G199" s="18"/>
      <c r="H199" s="18"/>
      <c r="I199" s="18"/>
      <c r="J199" s="18"/>
      <c r="K199" s="18"/>
      <c r="L199" s="19">
        <f>SUM(F199:K199)</f>
        <v>6318.63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345096.65</v>
      </c>
      <c r="G201" s="18">
        <v>76212.990000000005</v>
      </c>
      <c r="H201" s="18">
        <v>843.9</v>
      </c>
      <c r="I201" s="18">
        <v>4057.2</v>
      </c>
      <c r="J201" s="18"/>
      <c r="K201" s="18"/>
      <c r="L201" s="19">
        <f t="shared" ref="L201:L207" si="0">SUM(F201:K201)</f>
        <v>426210.74000000005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94016.41</v>
      </c>
      <c r="G202" s="18">
        <v>28971.32</v>
      </c>
      <c r="H202" s="18">
        <v>25394.93</v>
      </c>
      <c r="I202" s="18">
        <v>15140.46</v>
      </c>
      <c r="J202" s="18">
        <v>21193.45</v>
      </c>
      <c r="K202" s="18"/>
      <c r="L202" s="19">
        <f t="shared" si="0"/>
        <v>184716.57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1490</v>
      </c>
      <c r="G203" s="18">
        <v>3374.5</v>
      </c>
      <c r="H203" s="18">
        <v>115012.19</v>
      </c>
      <c r="I203" s="18"/>
      <c r="J203" s="18"/>
      <c r="K203" s="18"/>
      <c r="L203" s="19">
        <f t="shared" si="0"/>
        <v>119876.69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210092.96</v>
      </c>
      <c r="G204" s="18">
        <v>26999.19</v>
      </c>
      <c r="H204" s="18">
        <v>17709.05</v>
      </c>
      <c r="I204" s="18">
        <v>2085.83</v>
      </c>
      <c r="J204" s="18">
        <v>1369.9</v>
      </c>
      <c r="K204" s="18">
        <v>720</v>
      </c>
      <c r="L204" s="19">
        <f t="shared" si="0"/>
        <v>258976.92999999996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167163.9</v>
      </c>
      <c r="G206" s="18">
        <v>19675.62</v>
      </c>
      <c r="H206" s="18">
        <v>52801.98</v>
      </c>
      <c r="I206" s="18">
        <v>130168.11</v>
      </c>
      <c r="J206" s="18">
        <v>98000</v>
      </c>
      <c r="K206" s="18"/>
      <c r="L206" s="19">
        <f t="shared" si="0"/>
        <v>467809.61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200945.48</v>
      </c>
      <c r="I207" s="18"/>
      <c r="J207" s="18"/>
      <c r="K207" s="18"/>
      <c r="L207" s="19">
        <f t="shared" si="0"/>
        <v>200945.48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2833799.67</v>
      </c>
      <c r="G210" s="41">
        <f t="shared" si="1"/>
        <v>860517.61999999988</v>
      </c>
      <c r="H210" s="41">
        <f t="shared" si="1"/>
        <v>414438.25</v>
      </c>
      <c r="I210" s="41">
        <f t="shared" si="1"/>
        <v>219295.14</v>
      </c>
      <c r="J210" s="41">
        <f t="shared" si="1"/>
        <v>123505.60000000001</v>
      </c>
      <c r="K210" s="41">
        <f t="shared" si="1"/>
        <v>720</v>
      </c>
      <c r="L210" s="41">
        <f t="shared" si="1"/>
        <v>4452276.28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2833799.67</v>
      </c>
      <c r="G256" s="41">
        <f t="shared" si="8"/>
        <v>860517.61999999988</v>
      </c>
      <c r="H256" s="41">
        <f t="shared" si="8"/>
        <v>414438.25</v>
      </c>
      <c r="I256" s="41">
        <f t="shared" si="8"/>
        <v>219295.14</v>
      </c>
      <c r="J256" s="41">
        <f t="shared" si="8"/>
        <v>123505.60000000001</v>
      </c>
      <c r="K256" s="41">
        <f t="shared" si="8"/>
        <v>720</v>
      </c>
      <c r="L256" s="41">
        <f t="shared" si="8"/>
        <v>4452276.28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211008.64000000001</v>
      </c>
      <c r="L259" s="19">
        <f>SUM(F259:K259)</f>
        <v>211008.64000000001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118985.62</v>
      </c>
      <c r="L260" s="19">
        <f>SUM(F260:K260)</f>
        <v>118985.62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 t="s">
        <v>287</v>
      </c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100000</v>
      </c>
      <c r="L265" s="19">
        <f t="shared" si="9"/>
        <v>100000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429994.26</v>
      </c>
      <c r="L269" s="41">
        <f t="shared" si="9"/>
        <v>429994.26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2833799.67</v>
      </c>
      <c r="G270" s="42">
        <f t="shared" si="11"/>
        <v>860517.61999999988</v>
      </c>
      <c r="H270" s="42">
        <f t="shared" si="11"/>
        <v>414438.25</v>
      </c>
      <c r="I270" s="42">
        <f t="shared" si="11"/>
        <v>219295.14</v>
      </c>
      <c r="J270" s="42">
        <f t="shared" si="11"/>
        <v>123505.60000000001</v>
      </c>
      <c r="K270" s="42">
        <f t="shared" si="11"/>
        <v>430714.26</v>
      </c>
      <c r="L270" s="42">
        <f t="shared" si="11"/>
        <v>4882270.54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12081.79</v>
      </c>
      <c r="G275" s="18"/>
      <c r="H275" s="18"/>
      <c r="I275" s="18">
        <v>1027.82</v>
      </c>
      <c r="J275" s="18"/>
      <c r="K275" s="18"/>
      <c r="L275" s="19">
        <f>SUM(F275:K275)</f>
        <v>13109.61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12081.79</v>
      </c>
      <c r="G289" s="42">
        <f t="shared" si="13"/>
        <v>0</v>
      </c>
      <c r="H289" s="42">
        <f t="shared" si="13"/>
        <v>0</v>
      </c>
      <c r="I289" s="42">
        <f t="shared" si="13"/>
        <v>1027.82</v>
      </c>
      <c r="J289" s="42">
        <f t="shared" si="13"/>
        <v>0</v>
      </c>
      <c r="K289" s="42">
        <f t="shared" si="13"/>
        <v>0</v>
      </c>
      <c r="L289" s="41">
        <f t="shared" si="13"/>
        <v>13109.61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12081.79</v>
      </c>
      <c r="G337" s="41">
        <f t="shared" si="20"/>
        <v>0</v>
      </c>
      <c r="H337" s="41">
        <f t="shared" si="20"/>
        <v>0</v>
      </c>
      <c r="I337" s="41">
        <f t="shared" si="20"/>
        <v>1027.82</v>
      </c>
      <c r="J337" s="41">
        <f t="shared" si="20"/>
        <v>0</v>
      </c>
      <c r="K337" s="41">
        <f t="shared" si="20"/>
        <v>0</v>
      </c>
      <c r="L337" s="41">
        <f t="shared" si="20"/>
        <v>13109.61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12081.79</v>
      </c>
      <c r="G351" s="41">
        <f>G337</f>
        <v>0</v>
      </c>
      <c r="H351" s="41">
        <f>H337</f>
        <v>0</v>
      </c>
      <c r="I351" s="41">
        <f>I337</f>
        <v>1027.82</v>
      </c>
      <c r="J351" s="41">
        <f>J337</f>
        <v>0</v>
      </c>
      <c r="K351" s="47">
        <f>K337+K350</f>
        <v>0</v>
      </c>
      <c r="L351" s="41">
        <f>L337+L350</f>
        <v>13109.61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55818.43</v>
      </c>
      <c r="G357" s="18">
        <v>8760.36</v>
      </c>
      <c r="H357" s="18">
        <v>2189.6799999999998</v>
      </c>
      <c r="I357" s="18">
        <v>49440.3</v>
      </c>
      <c r="J357" s="18"/>
      <c r="K357" s="18"/>
      <c r="L357" s="13">
        <f>SUM(F357:K357)</f>
        <v>116208.77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55818.43</v>
      </c>
      <c r="G361" s="47">
        <f t="shared" si="22"/>
        <v>8760.36</v>
      </c>
      <c r="H361" s="47">
        <f t="shared" si="22"/>
        <v>2189.6799999999998</v>
      </c>
      <c r="I361" s="47">
        <f t="shared" si="22"/>
        <v>49440.3</v>
      </c>
      <c r="J361" s="47">
        <f t="shared" si="22"/>
        <v>0</v>
      </c>
      <c r="K361" s="47">
        <f t="shared" si="22"/>
        <v>0</v>
      </c>
      <c r="L361" s="47">
        <f t="shared" si="22"/>
        <v>116208.77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46176.38</v>
      </c>
      <c r="G366" s="18"/>
      <c r="H366" s="18"/>
      <c r="I366" s="56">
        <f>SUM(F366:H366)</f>
        <v>46176.38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3263.92</v>
      </c>
      <c r="G367" s="63"/>
      <c r="H367" s="63"/>
      <c r="I367" s="56">
        <f>SUM(F367:H367)</f>
        <v>3263.92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49440.299999999996</v>
      </c>
      <c r="G368" s="47">
        <f>SUM(G366:G367)</f>
        <v>0</v>
      </c>
      <c r="H368" s="47">
        <f>SUM(H366:H367)</f>
        <v>0</v>
      </c>
      <c r="I368" s="47">
        <f>SUM(I366:I367)</f>
        <v>49440.299999999996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100000</v>
      </c>
      <c r="H395" s="18"/>
      <c r="I395" s="18" t="s">
        <v>287</v>
      </c>
      <c r="J395" s="24" t="s">
        <v>289</v>
      </c>
      <c r="K395" s="24" t="s">
        <v>289</v>
      </c>
      <c r="L395" s="56">
        <f t="shared" si="26"/>
        <v>100000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100000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100000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460530.35</v>
      </c>
      <c r="G438" s="18"/>
      <c r="H438" s="18"/>
      <c r="I438" s="56">
        <f t="shared" ref="I438:I444" si="33">SUM(F438:H438)</f>
        <v>460530.35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460530.35</v>
      </c>
      <c r="G445" s="13">
        <f>SUM(G438:G444)</f>
        <v>0</v>
      </c>
      <c r="H445" s="13">
        <f>SUM(H438:H444)</f>
        <v>0</v>
      </c>
      <c r="I445" s="13">
        <f>SUM(I438:I444)</f>
        <v>460530.35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460530.35</v>
      </c>
      <c r="G458" s="18"/>
      <c r="H458" s="18"/>
      <c r="I458" s="56">
        <f t="shared" si="34"/>
        <v>460530.35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460530.35</v>
      </c>
      <c r="G459" s="83">
        <f>SUM(G453:G458)</f>
        <v>0</v>
      </c>
      <c r="H459" s="83">
        <f>SUM(H453:H458)</f>
        <v>0</v>
      </c>
      <c r="I459" s="83">
        <f>SUM(I453:I458)</f>
        <v>460530.35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460530.35</v>
      </c>
      <c r="G460" s="42">
        <f>G451+G459</f>
        <v>0</v>
      </c>
      <c r="H460" s="42">
        <f>H451+H459</f>
        <v>0</v>
      </c>
      <c r="I460" s="42">
        <f>I451+I459</f>
        <v>460530.35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35477.49</v>
      </c>
      <c r="G464" s="18">
        <v>23398.36</v>
      </c>
      <c r="H464" s="18">
        <v>12559.26</v>
      </c>
      <c r="I464" s="18"/>
      <c r="J464" s="18">
        <v>360530.35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5063520.08</v>
      </c>
      <c r="G467" s="18">
        <v>111916.06</v>
      </c>
      <c r="H467" s="18">
        <v>17872.5</v>
      </c>
      <c r="I467" s="18"/>
      <c r="J467" s="18">
        <v>100000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5063520.08</v>
      </c>
      <c r="G469" s="53">
        <f>SUM(G467:G468)</f>
        <v>111916.06</v>
      </c>
      <c r="H469" s="53">
        <f>SUM(H467:H468)</f>
        <v>17872.5</v>
      </c>
      <c r="I469" s="53">
        <f>SUM(I467:I468)</f>
        <v>0</v>
      </c>
      <c r="J469" s="53">
        <f>SUM(J467:J468)</f>
        <v>100000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4882270.54</v>
      </c>
      <c r="G471" s="18">
        <v>116208.77</v>
      </c>
      <c r="H471" s="18">
        <v>13109.61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4882270.54</v>
      </c>
      <c r="G473" s="53">
        <f>SUM(G471:G472)</f>
        <v>116208.77</v>
      </c>
      <c r="H473" s="53">
        <f>SUM(H471:H472)</f>
        <v>13109.61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216727.03000000026</v>
      </c>
      <c r="G475" s="53">
        <f>(G464+G469)- G473</f>
        <v>19105.64999999998</v>
      </c>
      <c r="H475" s="53">
        <f>(H464+H469)- H473</f>
        <v>17322.150000000001</v>
      </c>
      <c r="I475" s="53">
        <f>(I464+I469)- I473</f>
        <v>0</v>
      </c>
      <c r="J475" s="53">
        <f>(J464+J469)- J473</f>
        <v>460530.35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4410000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4.7699999999999996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1864717.09</v>
      </c>
      <c r="G494" s="18"/>
      <c r="H494" s="18"/>
      <c r="I494" s="18"/>
      <c r="J494" s="18"/>
      <c r="K494" s="53">
        <f>SUM(F494:J494)</f>
        <v>1864717.09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1653708.45</v>
      </c>
      <c r="G497" s="205"/>
      <c r="H497" s="205"/>
      <c r="I497" s="205"/>
      <c r="J497" s="205"/>
      <c r="K497" s="206">
        <f t="shared" si="35"/>
        <v>1653708.45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1718407.95</v>
      </c>
      <c r="G498" s="18"/>
      <c r="H498" s="18"/>
      <c r="I498" s="18"/>
      <c r="J498" s="18"/>
      <c r="K498" s="53">
        <f t="shared" si="35"/>
        <v>1718407.95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3372116.4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3372116.4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211008.64000000001</v>
      </c>
      <c r="G500" s="205"/>
      <c r="H500" s="205"/>
      <c r="I500" s="205"/>
      <c r="J500" s="205"/>
      <c r="K500" s="206">
        <f t="shared" si="35"/>
        <v>211008.64000000001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118985.62</v>
      </c>
      <c r="G501" s="18"/>
      <c r="H501" s="18"/>
      <c r="I501" s="18"/>
      <c r="J501" s="18"/>
      <c r="K501" s="53">
        <f t="shared" si="35"/>
        <v>118985.62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329994.26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329994.26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427463.28</v>
      </c>
      <c r="G520" s="18">
        <v>136262.91</v>
      </c>
      <c r="H520" s="18">
        <v>1371.72</v>
      </c>
      <c r="I520" s="18">
        <v>4084.28</v>
      </c>
      <c r="J520" s="18">
        <v>1584.17</v>
      </c>
      <c r="K520" s="18"/>
      <c r="L520" s="88">
        <f>SUM(F520:K520)</f>
        <v>570766.3600000001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427463.28</v>
      </c>
      <c r="G523" s="108">
        <f t="shared" ref="G523:L523" si="36">SUM(G520:G522)</f>
        <v>136262.91</v>
      </c>
      <c r="H523" s="108">
        <f t="shared" si="36"/>
        <v>1371.72</v>
      </c>
      <c r="I523" s="108">
        <f t="shared" si="36"/>
        <v>4084.28</v>
      </c>
      <c r="J523" s="108">
        <f t="shared" si="36"/>
        <v>1584.17</v>
      </c>
      <c r="K523" s="108">
        <f t="shared" si="36"/>
        <v>0</v>
      </c>
      <c r="L523" s="89">
        <f t="shared" si="36"/>
        <v>570766.3600000001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345096.65</v>
      </c>
      <c r="G525" s="18">
        <v>96627.06</v>
      </c>
      <c r="H525" s="18">
        <v>843.9</v>
      </c>
      <c r="I525" s="18">
        <v>4057.2</v>
      </c>
      <c r="J525" s="18"/>
      <c r="K525" s="18"/>
      <c r="L525" s="88">
        <f>SUM(F525:K525)</f>
        <v>446624.81000000006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345096.65</v>
      </c>
      <c r="G528" s="89">
        <f t="shared" ref="G528:L528" si="37">SUM(G525:G527)</f>
        <v>96627.06</v>
      </c>
      <c r="H528" s="89">
        <f t="shared" si="37"/>
        <v>843.9</v>
      </c>
      <c r="I528" s="89">
        <f t="shared" si="37"/>
        <v>4057.2</v>
      </c>
      <c r="J528" s="89">
        <f t="shared" si="37"/>
        <v>0</v>
      </c>
      <c r="K528" s="89">
        <f t="shared" si="37"/>
        <v>0</v>
      </c>
      <c r="L528" s="89">
        <f t="shared" si="37"/>
        <v>446624.81000000006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46220.45</v>
      </c>
      <c r="G530" s="18">
        <v>12941.72</v>
      </c>
      <c r="H530" s="18">
        <v>3187.62</v>
      </c>
      <c r="I530" s="18">
        <v>375.44</v>
      </c>
      <c r="J530" s="18">
        <v>246.58</v>
      </c>
      <c r="K530" s="18">
        <v>129.6</v>
      </c>
      <c r="L530" s="88">
        <f>SUM(F530:K530)</f>
        <v>63101.41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46220.45</v>
      </c>
      <c r="G533" s="89">
        <f t="shared" ref="G533:L533" si="38">SUM(G530:G532)</f>
        <v>12941.72</v>
      </c>
      <c r="H533" s="89">
        <f t="shared" si="38"/>
        <v>3187.62</v>
      </c>
      <c r="I533" s="89">
        <f t="shared" si="38"/>
        <v>375.44</v>
      </c>
      <c r="J533" s="89">
        <f t="shared" si="38"/>
        <v>246.58</v>
      </c>
      <c r="K533" s="89">
        <f t="shared" si="38"/>
        <v>129.6</v>
      </c>
      <c r="L533" s="89">
        <f t="shared" si="38"/>
        <v>63101.41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421.25</v>
      </c>
      <c r="I535" s="18"/>
      <c r="J535" s="18"/>
      <c r="K535" s="18"/>
      <c r="L535" s="88">
        <f>SUM(F535:K535)</f>
        <v>421.25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421.25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421.25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53989.88</v>
      </c>
      <c r="I540" s="18"/>
      <c r="J540" s="18"/>
      <c r="K540" s="18"/>
      <c r="L540" s="88">
        <f>SUM(F540:K540)</f>
        <v>53989.88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53989.88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53989.88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818780.38</v>
      </c>
      <c r="G544" s="89">
        <f t="shared" ref="G544:L544" si="41">G523+G528+G533+G538+G543</f>
        <v>245831.69</v>
      </c>
      <c r="H544" s="89">
        <f t="shared" si="41"/>
        <v>59814.369999999995</v>
      </c>
      <c r="I544" s="89">
        <f t="shared" si="41"/>
        <v>8516.92</v>
      </c>
      <c r="J544" s="89">
        <f t="shared" si="41"/>
        <v>1830.75</v>
      </c>
      <c r="K544" s="89">
        <f t="shared" si="41"/>
        <v>129.6</v>
      </c>
      <c r="L544" s="89">
        <f t="shared" si="41"/>
        <v>1134903.71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570766.3600000001</v>
      </c>
      <c r="G548" s="87">
        <f>L525</f>
        <v>446624.81000000006</v>
      </c>
      <c r="H548" s="87">
        <f>L530</f>
        <v>63101.41</v>
      </c>
      <c r="I548" s="87">
        <f>L535</f>
        <v>421.25</v>
      </c>
      <c r="J548" s="87">
        <f>L540</f>
        <v>53989.88</v>
      </c>
      <c r="K548" s="87">
        <f>SUM(F548:J548)</f>
        <v>1134903.71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570766.3600000001</v>
      </c>
      <c r="G551" s="89">
        <f t="shared" si="42"/>
        <v>446624.81000000006</v>
      </c>
      <c r="H551" s="89">
        <f t="shared" si="42"/>
        <v>63101.41</v>
      </c>
      <c r="I551" s="89">
        <f t="shared" si="42"/>
        <v>421.25</v>
      </c>
      <c r="J551" s="89">
        <f t="shared" si="42"/>
        <v>53989.88</v>
      </c>
      <c r="K551" s="89">
        <f t="shared" si="42"/>
        <v>1134903.71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146955.6</v>
      </c>
      <c r="I590" s="18"/>
      <c r="J590" s="18"/>
      <c r="K590" s="104">
        <f t="shared" ref="K590:K596" si="48">SUM(H590:J590)</f>
        <v>146955.6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53989.88</v>
      </c>
      <c r="I591" s="18"/>
      <c r="J591" s="18"/>
      <c r="K591" s="104">
        <f t="shared" si="48"/>
        <v>53989.88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200945.48</v>
      </c>
      <c r="I597" s="108">
        <f>SUM(I590:I596)</f>
        <v>0</v>
      </c>
      <c r="J597" s="108">
        <f>SUM(J590:J596)</f>
        <v>0</v>
      </c>
      <c r="K597" s="108">
        <f>SUM(K590:K596)</f>
        <v>200945.48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123505.60000000001</v>
      </c>
      <c r="I603" s="18"/>
      <c r="J603" s="18"/>
      <c r="K603" s="104">
        <f>SUM(H603:J603)</f>
        <v>123505.60000000001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123505.60000000001</v>
      </c>
      <c r="I604" s="108">
        <f>SUM(I601:I603)</f>
        <v>0</v>
      </c>
      <c r="J604" s="108">
        <f>SUM(J601:J603)</f>
        <v>0</v>
      </c>
      <c r="K604" s="108">
        <f>SUM(K601:K603)</f>
        <v>123505.60000000001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462954.95</v>
      </c>
      <c r="H616" s="109">
        <f>SUM(F51)</f>
        <v>462954.95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8626.66</v>
      </c>
      <c r="H617" s="109">
        <f>SUM(G51)</f>
        <v>8626.6600000000017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460530.35</v>
      </c>
      <c r="H620" s="109">
        <f>SUM(J51)</f>
        <v>460530.35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216727.03</v>
      </c>
      <c r="H621" s="109">
        <f>F475</f>
        <v>216727.03000000026</v>
      </c>
      <c r="I621" s="121" t="s">
        <v>101</v>
      </c>
      <c r="J621" s="109">
        <f t="shared" ref="J621:J654" si="50">G621-H621</f>
        <v>-2.6193447411060333E-10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19105.650000000001</v>
      </c>
      <c r="H622" s="109">
        <f>G475</f>
        <v>19105.64999999998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17322.150000000001</v>
      </c>
      <c r="H623" s="109">
        <f>H475</f>
        <v>17322.150000000001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460530.35</v>
      </c>
      <c r="H625" s="109">
        <f>J475</f>
        <v>460530.35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5063520.0799999991</v>
      </c>
      <c r="H626" s="104">
        <f>SUM(F467)</f>
        <v>5063520.08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111916.06</v>
      </c>
      <c r="H627" s="104">
        <f>SUM(G467)</f>
        <v>111916.06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17872.5</v>
      </c>
      <c r="H628" s="104">
        <f>SUM(H467)</f>
        <v>17872.5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100000</v>
      </c>
      <c r="H630" s="104">
        <f>SUM(J467)</f>
        <v>100000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4882270.54</v>
      </c>
      <c r="H631" s="104">
        <f>SUM(F471)</f>
        <v>4882270.54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13109.61</v>
      </c>
      <c r="H632" s="104">
        <f>SUM(H471)</f>
        <v>13109.61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49440.3</v>
      </c>
      <c r="H633" s="104">
        <f>I368</f>
        <v>49440.299999999996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116208.77</v>
      </c>
      <c r="H634" s="104">
        <f>SUM(G471)</f>
        <v>116208.77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100000</v>
      </c>
      <c r="H636" s="164">
        <f>SUM(J467)</f>
        <v>100000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460530.35</v>
      </c>
      <c r="H638" s="104">
        <f>SUM(F460)</f>
        <v>460530.35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460530.35</v>
      </c>
      <c r="H641" s="104">
        <f>SUM(I460)</f>
        <v>460530.35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100000</v>
      </c>
      <c r="H644" s="104">
        <f>G407</f>
        <v>100000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100000</v>
      </c>
      <c r="H645" s="104">
        <f>L407</f>
        <v>100000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200945.48</v>
      </c>
      <c r="H646" s="104">
        <f>L207+L225+L243</f>
        <v>200945.48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123505.60000000001</v>
      </c>
      <c r="H647" s="104">
        <f>(J256+J337)-(J254+J335)</f>
        <v>123505.60000000001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200945.48</v>
      </c>
      <c r="H648" s="104">
        <f>H597</f>
        <v>200945.48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 t="str">
        <f>K263</f>
        <v xml:space="preserve"> 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100000</v>
      </c>
      <c r="H654" s="104">
        <f>K265+K346</f>
        <v>100000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4581594.66</v>
      </c>
      <c r="G659" s="19">
        <f>(L228+L308+L358)</f>
        <v>0</v>
      </c>
      <c r="H659" s="19">
        <f>(L246+L327+L359)</f>
        <v>0</v>
      </c>
      <c r="I659" s="19">
        <f>SUM(F659:H659)</f>
        <v>4581594.66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87870.5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87870.5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200945.48</v>
      </c>
      <c r="G661" s="19">
        <f>(L225+L305)-(J225+J305)</f>
        <v>0</v>
      </c>
      <c r="H661" s="19">
        <f>(L243+L324)-(J243+J324)</f>
        <v>0</v>
      </c>
      <c r="I661" s="19">
        <f>SUM(F661:H661)</f>
        <v>200945.48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123505.60000000001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123505.60000000001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4169273.08</v>
      </c>
      <c r="G663" s="19">
        <f>G659-SUM(G660:G662)</f>
        <v>0</v>
      </c>
      <c r="H663" s="19">
        <f>H659-SUM(H660:H662)</f>
        <v>0</v>
      </c>
      <c r="I663" s="19">
        <f>I659-SUM(I660:I662)</f>
        <v>4169273.08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367.02</v>
      </c>
      <c r="G664" s="249"/>
      <c r="H664" s="249"/>
      <c r="I664" s="19">
        <f>SUM(F664:H664)</f>
        <v>367.02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11359.8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11359.8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11359.8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11359.8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5" sqref="B15:C15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Brentwood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1594239.6300000001</v>
      </c>
      <c r="C9" s="230">
        <f>'DOE25'!G196+'DOE25'!G214+'DOE25'!G232+'DOE25'!G275+'DOE25'!G294+'DOE25'!G313</f>
        <v>569021.09</v>
      </c>
    </row>
    <row r="10" spans="1:3">
      <c r="A10" t="s">
        <v>779</v>
      </c>
      <c r="B10" s="241">
        <v>1444944.7</v>
      </c>
      <c r="C10" s="241">
        <v>529681.05000000005</v>
      </c>
    </row>
    <row r="11" spans="1:3">
      <c r="A11" t="s">
        <v>780</v>
      </c>
      <c r="B11" s="241">
        <v>108253.08</v>
      </c>
      <c r="C11" s="241">
        <v>30310.84</v>
      </c>
    </row>
    <row r="12" spans="1:3">
      <c r="A12" t="s">
        <v>781</v>
      </c>
      <c r="B12" s="241">
        <v>41041.85</v>
      </c>
      <c r="C12" s="241">
        <v>9029.2000000000007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1594239.6300000001</v>
      </c>
      <c r="C13" s="232">
        <f>SUM(C10:C12)</f>
        <v>569021.09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427463.28</v>
      </c>
      <c r="C18" s="230">
        <f>'DOE25'!G197+'DOE25'!G215+'DOE25'!G233+'DOE25'!G276+'DOE25'!G295+'DOE25'!G314</f>
        <v>136262.91</v>
      </c>
    </row>
    <row r="19" spans="1:3">
      <c r="A19" t="s">
        <v>779</v>
      </c>
      <c r="B19" s="241">
        <v>189759.83</v>
      </c>
      <c r="C19" s="241">
        <v>66415.94</v>
      </c>
    </row>
    <row r="20" spans="1:3">
      <c r="A20" t="s">
        <v>780</v>
      </c>
      <c r="B20" s="241">
        <v>224584.14</v>
      </c>
      <c r="C20" s="241">
        <v>68272.66</v>
      </c>
    </row>
    <row r="21" spans="1:3">
      <c r="A21" t="s">
        <v>781</v>
      </c>
      <c r="B21" s="241">
        <v>13119.31</v>
      </c>
      <c r="C21" s="241">
        <v>1574.31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427463.27999999997</v>
      </c>
      <c r="C22" s="232">
        <f>SUM(C19:C21)</f>
        <v>136262.91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6318.63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>
        <v>6318.63</v>
      </c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6318.63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Brentwood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2793740.26</v>
      </c>
      <c r="D5" s="20">
        <f>SUM('DOE25'!L196:L199)+SUM('DOE25'!L214:L217)+SUM('DOE25'!L232:L235)-F5-G5</f>
        <v>2790798.01</v>
      </c>
      <c r="E5" s="244"/>
      <c r="F5" s="256">
        <f>SUM('DOE25'!J196:J199)+SUM('DOE25'!J214:J217)+SUM('DOE25'!J232:J235)</f>
        <v>2942.25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426210.74000000005</v>
      </c>
      <c r="D6" s="20">
        <f>'DOE25'!L201+'DOE25'!L219+'DOE25'!L237-F6-G6</f>
        <v>426210.74000000005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184716.57</v>
      </c>
      <c r="D7" s="20">
        <f>'DOE25'!L202+'DOE25'!L220+'DOE25'!L238-F7-G7</f>
        <v>163523.12</v>
      </c>
      <c r="E7" s="244"/>
      <c r="F7" s="256">
        <f>'DOE25'!J202+'DOE25'!J220+'DOE25'!J238</f>
        <v>21193.45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102679.86</v>
      </c>
      <c r="D8" s="244"/>
      <c r="E8" s="20">
        <f>'DOE25'!L203+'DOE25'!L221+'DOE25'!L239-F8-G8-D9-D11</f>
        <v>102679.86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>
      <c r="A9" s="32">
        <v>2310</v>
      </c>
      <c r="B9" t="s">
        <v>818</v>
      </c>
      <c r="C9" s="246">
        <f t="shared" si="0"/>
        <v>1490</v>
      </c>
      <c r="D9" s="245">
        <v>1490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4500</v>
      </c>
      <c r="D10" s="244"/>
      <c r="E10" s="245">
        <v>4500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15706.83</v>
      </c>
      <c r="D11" s="245">
        <v>15706.83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258976.92999999996</v>
      </c>
      <c r="D12" s="20">
        <f>'DOE25'!L204+'DOE25'!L222+'DOE25'!L240-F12-G12</f>
        <v>256887.02999999997</v>
      </c>
      <c r="E12" s="244"/>
      <c r="F12" s="256">
        <f>'DOE25'!J204+'DOE25'!J222+'DOE25'!J240</f>
        <v>1369.9</v>
      </c>
      <c r="G12" s="53">
        <f>'DOE25'!K204+'DOE25'!K222+'DOE25'!K240</f>
        <v>720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467809.61</v>
      </c>
      <c r="D14" s="20">
        <f>'DOE25'!L206+'DOE25'!L224+'DOE25'!L242-F14-G14</f>
        <v>369809.61</v>
      </c>
      <c r="E14" s="244"/>
      <c r="F14" s="256">
        <f>'DOE25'!J206+'DOE25'!J224+'DOE25'!J242</f>
        <v>98000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200945.48</v>
      </c>
      <c r="D15" s="20">
        <f>'DOE25'!L207+'DOE25'!L225+'DOE25'!L243-F15-G15</f>
        <v>200945.48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329994.26</v>
      </c>
      <c r="D25" s="244"/>
      <c r="E25" s="244"/>
      <c r="F25" s="259"/>
      <c r="G25" s="257"/>
      <c r="H25" s="258">
        <f>'DOE25'!L259+'DOE25'!L260+'DOE25'!L340+'DOE25'!L341</f>
        <v>329994.26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70032.390000000014</v>
      </c>
      <c r="D29" s="20">
        <f>'DOE25'!L357+'DOE25'!L358+'DOE25'!L359-'DOE25'!I366-F29-G29</f>
        <v>70032.390000000014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13109.61</v>
      </c>
      <c r="D31" s="20">
        <f>'DOE25'!L289+'DOE25'!L308+'DOE25'!L327+'DOE25'!L332+'DOE25'!L333+'DOE25'!L334-F31-G31</f>
        <v>13109.61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4308512.82</v>
      </c>
      <c r="E33" s="247">
        <f>SUM(E5:E31)</f>
        <v>107179.86</v>
      </c>
      <c r="F33" s="247">
        <f>SUM(F5:F31)</f>
        <v>123505.60000000001</v>
      </c>
      <c r="G33" s="247">
        <f>SUM(G5:G31)</f>
        <v>720</v>
      </c>
      <c r="H33" s="247">
        <f>SUM(H5:H31)</f>
        <v>329994.26</v>
      </c>
    </row>
    <row r="35" spans="2:8" ht="12" thickBot="1">
      <c r="B35" s="254" t="s">
        <v>847</v>
      </c>
      <c r="D35" s="255">
        <f>E33</f>
        <v>107179.86</v>
      </c>
      <c r="E35" s="250"/>
    </row>
    <row r="36" spans="2:8" ht="12" thickTop="1">
      <c r="B36" t="s">
        <v>815</v>
      </c>
      <c r="D36" s="20">
        <f>D33</f>
        <v>4308512.82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Brentwood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214411.29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460530.35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231048.58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17495.080000000002</v>
      </c>
      <c r="D13" s="95">
        <f>'DOE25'!G14</f>
        <v>4227.17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4399.49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462954.95</v>
      </c>
      <c r="D18" s="41">
        <f>SUM(D8:D17)</f>
        <v>8626.66</v>
      </c>
      <c r="E18" s="41">
        <f>SUM(E8:E17)</f>
        <v>0</v>
      </c>
      <c r="F18" s="41">
        <f>SUM(F8:F17)</f>
        <v>0</v>
      </c>
      <c r="G18" s="41">
        <f>SUM(G8:G17)</f>
        <v>460530.35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27801.14</v>
      </c>
      <c r="D21" s="95">
        <f>'DOE25'!G22</f>
        <v>-10478.99</v>
      </c>
      <c r="E21" s="95">
        <f>'DOE25'!H22</f>
        <v>-17322.150000000001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197297.69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626.51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17300.37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3202.21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246227.92</v>
      </c>
      <c r="D31" s="41">
        <f>SUM(D21:D30)</f>
        <v>-10478.99</v>
      </c>
      <c r="E31" s="41">
        <f>SUM(E21:E30)</f>
        <v>-17322.150000000001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19105.650000000001</v>
      </c>
      <c r="E46" s="95">
        <f>'DOE25'!H47</f>
        <v>17322.150000000001</v>
      </c>
      <c r="F46" s="95">
        <f>'DOE25'!I47</f>
        <v>0</v>
      </c>
      <c r="G46" s="95">
        <f>'DOE25'!J47</f>
        <v>460530.35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216727.03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216727.03</v>
      </c>
      <c r="D49" s="41">
        <f>SUM(D34:D48)</f>
        <v>19105.650000000001</v>
      </c>
      <c r="E49" s="41">
        <f>SUM(E34:E48)</f>
        <v>17322.150000000001</v>
      </c>
      <c r="F49" s="41">
        <f>SUM(F34:F48)</f>
        <v>0</v>
      </c>
      <c r="G49" s="41">
        <f>SUM(G34:G48)</f>
        <v>460530.35</v>
      </c>
      <c r="H49" s="124"/>
      <c r="I49" s="124"/>
    </row>
    <row r="50" spans="1:9" ht="12" thickTop="1">
      <c r="A50" s="38" t="s">
        <v>895</v>
      </c>
      <c r="B50" s="2"/>
      <c r="C50" s="41">
        <f>C49+C31</f>
        <v>462954.95</v>
      </c>
      <c r="D50" s="41">
        <f>D49+D31</f>
        <v>8626.6600000000017</v>
      </c>
      <c r="E50" s="41">
        <f>E49+E31</f>
        <v>0</v>
      </c>
      <c r="F50" s="41">
        <f>F49+F31</f>
        <v>0</v>
      </c>
      <c r="G50" s="41">
        <f>G49+G31</f>
        <v>460530.35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3265756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15449.95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310.23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87870.5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7339.4</v>
      </c>
      <c r="D60" s="95">
        <f>SUM('DOE25'!G97:G109)</f>
        <v>0</v>
      </c>
      <c r="E60" s="95">
        <f>SUM('DOE25'!H97:H109)</f>
        <v>17872.5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23099.58</v>
      </c>
      <c r="D61" s="130">
        <f>SUM(D56:D60)</f>
        <v>87870.5</v>
      </c>
      <c r="E61" s="130">
        <f>SUM(E56:E60)</f>
        <v>17872.5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3288855.58</v>
      </c>
      <c r="D62" s="22">
        <f>D55+D61</f>
        <v>87870.5</v>
      </c>
      <c r="E62" s="22">
        <f>E55+E61</f>
        <v>17872.5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841546.86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488597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729.14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1330872.9999999998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87114.1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1244.9100000000001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87114.1</v>
      </c>
      <c r="D77" s="130">
        <f>SUM(D71:D76)</f>
        <v>1244.9100000000001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1417987.0999999999</v>
      </c>
      <c r="D80" s="130">
        <f>SUM(D78:D79)+D77+D69</f>
        <v>1244.9100000000001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28581.19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66587.570000000007</v>
      </c>
      <c r="D87" s="95">
        <f>SUM('DOE25'!G152:G160)</f>
        <v>22800.65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95168.760000000009</v>
      </c>
      <c r="D90" s="131">
        <f>SUM(D84:D89)</f>
        <v>22800.65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100000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261508.64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261508.64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100000</v>
      </c>
    </row>
    <row r="103" spans="1:7" ht="12.75" thickTop="1" thickBot="1">
      <c r="A103" s="33" t="s">
        <v>765</v>
      </c>
      <c r="C103" s="86">
        <f>C62+C80+C90+C102</f>
        <v>5063520.0799999991</v>
      </c>
      <c r="D103" s="86">
        <f>D62+D80+D90+D102</f>
        <v>111916.06</v>
      </c>
      <c r="E103" s="86">
        <f>E62+E80+E90+E102</f>
        <v>17872.5</v>
      </c>
      <c r="F103" s="86">
        <f>F62+F80+F90+F102</f>
        <v>0</v>
      </c>
      <c r="G103" s="86">
        <f>G62+G80+G102</f>
        <v>100000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2216655.27</v>
      </c>
      <c r="D108" s="24" t="s">
        <v>289</v>
      </c>
      <c r="E108" s="95">
        <f>('DOE25'!L275)+('DOE25'!L294)+('DOE25'!L313)</f>
        <v>13109.61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570766.3600000001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6318.63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2793740.26</v>
      </c>
      <c r="D114" s="86">
        <f>SUM(D108:D113)</f>
        <v>0</v>
      </c>
      <c r="E114" s="86">
        <f>SUM(E108:E113)</f>
        <v>13109.61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426210.74000000005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184716.57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119876.69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258976.92999999996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467809.61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200945.48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116208.77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1658536.02</v>
      </c>
      <c r="D127" s="86">
        <f>SUM(D117:D126)</f>
        <v>116208.77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211008.64000000001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118985.62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100000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429994.26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4882270.5399999991</v>
      </c>
      <c r="D144" s="86">
        <f>(D114+D127+D143)</f>
        <v>116208.77</v>
      </c>
      <c r="E144" s="86">
        <f>(E114+E127+E143)</f>
        <v>13109.61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08/01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08/21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4410000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4.7699999999999996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1864717.09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1864717.09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1653708.45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1653708.45</v>
      </c>
    </row>
    <row r="159" spans="1:9">
      <c r="A159" s="22" t="s">
        <v>36</v>
      </c>
      <c r="B159" s="137">
        <f>'DOE25'!F498</f>
        <v>1718407.95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1718407.95</v>
      </c>
    </row>
    <row r="160" spans="1:9">
      <c r="A160" s="22" t="s">
        <v>37</v>
      </c>
      <c r="B160" s="137">
        <f>'DOE25'!F499</f>
        <v>3372116.4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3372116.4</v>
      </c>
    </row>
    <row r="161" spans="1:7">
      <c r="A161" s="22" t="s">
        <v>38</v>
      </c>
      <c r="B161" s="137">
        <f>'DOE25'!F500</f>
        <v>211008.64000000001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211008.64000000001</v>
      </c>
    </row>
    <row r="162" spans="1:7">
      <c r="A162" s="22" t="s">
        <v>39</v>
      </c>
      <c r="B162" s="137">
        <f>'DOE25'!F501</f>
        <v>118985.62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118985.62</v>
      </c>
    </row>
    <row r="163" spans="1:7">
      <c r="A163" s="22" t="s">
        <v>246</v>
      </c>
      <c r="B163" s="137">
        <f>'DOE25'!F502</f>
        <v>329994.26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329994.26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Brentwood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11360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11360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2229765</v>
      </c>
      <c r="D10" s="182">
        <f>ROUND((C10/$C$28)*100,1)</f>
        <v>48.3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570766</v>
      </c>
      <c r="D11" s="182">
        <f>ROUND((C11/$C$28)*100,1)</f>
        <v>12.4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6319</v>
      </c>
      <c r="D13" s="182">
        <f>ROUND((C13/$C$28)*100,1)</f>
        <v>0.1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426211</v>
      </c>
      <c r="D15" s="182">
        <f t="shared" ref="D15:D27" si="0">ROUND((C15/$C$28)*100,1)</f>
        <v>9.1999999999999993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184717</v>
      </c>
      <c r="D16" s="182">
        <f t="shared" si="0"/>
        <v>4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119877</v>
      </c>
      <c r="D17" s="182">
        <f t="shared" si="0"/>
        <v>2.6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258977</v>
      </c>
      <c r="D18" s="182">
        <f t="shared" si="0"/>
        <v>5.6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467810</v>
      </c>
      <c r="D20" s="182">
        <f t="shared" si="0"/>
        <v>10.1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200945</v>
      </c>
      <c r="D21" s="182">
        <f t="shared" si="0"/>
        <v>4.4000000000000004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118986</v>
      </c>
      <c r="D25" s="182">
        <f t="shared" si="0"/>
        <v>2.6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28338.5</v>
      </c>
      <c r="D27" s="182">
        <f t="shared" si="0"/>
        <v>0.6</v>
      </c>
    </row>
    <row r="28" spans="1:4">
      <c r="B28" s="187" t="s">
        <v>723</v>
      </c>
      <c r="C28" s="180">
        <f>SUM(C10:C27)</f>
        <v>4612711.5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4612711.5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211009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3265756</v>
      </c>
      <c r="D35" s="182">
        <f t="shared" ref="D35:D40" si="1">ROUND((C35/$C$41)*100,1)</f>
        <v>67.400000000000006</v>
      </c>
    </row>
    <row r="36" spans="1:4">
      <c r="B36" s="185" t="s">
        <v>743</v>
      </c>
      <c r="C36" s="179">
        <f>SUM('DOE25'!F111:J111)-SUM('DOE25'!G96:G109)+('DOE25'!F173+'DOE25'!F174+'DOE25'!I173+'DOE25'!I174)-C35</f>
        <v>40972.080000000075</v>
      </c>
      <c r="D36" s="182">
        <f t="shared" si="1"/>
        <v>0.8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1330873</v>
      </c>
      <c r="D37" s="182">
        <f t="shared" si="1"/>
        <v>27.5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88359</v>
      </c>
      <c r="D38" s="182">
        <f t="shared" si="1"/>
        <v>1.8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117969</v>
      </c>
      <c r="D39" s="182">
        <f t="shared" si="1"/>
        <v>2.4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4843929.08</v>
      </c>
      <c r="D41" s="184">
        <f>SUM(D35:D40)</f>
        <v>99.9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Brentwood School District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89:M89"/>
    <mergeCell ref="C90:M90"/>
    <mergeCell ref="C83:M83"/>
    <mergeCell ref="C84:M84"/>
    <mergeCell ref="C85:M85"/>
    <mergeCell ref="C86:M86"/>
    <mergeCell ref="C66:M66"/>
    <mergeCell ref="C67:M67"/>
    <mergeCell ref="C68:M68"/>
    <mergeCell ref="C69:M69"/>
    <mergeCell ref="C87:M87"/>
    <mergeCell ref="C88:M88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1:M61"/>
    <mergeCell ref="C53:M53"/>
    <mergeCell ref="C54:M54"/>
    <mergeCell ref="C55:M55"/>
    <mergeCell ref="C56:M56"/>
    <mergeCell ref="C57:M57"/>
    <mergeCell ref="C59:M59"/>
    <mergeCell ref="C60:M60"/>
    <mergeCell ref="C64:M64"/>
    <mergeCell ref="C65:M65"/>
    <mergeCell ref="C63:M63"/>
    <mergeCell ref="C62:M62"/>
    <mergeCell ref="C18:M18"/>
    <mergeCell ref="C19:M19"/>
    <mergeCell ref="C52:M52"/>
    <mergeCell ref="C50:M50"/>
    <mergeCell ref="C47:M47"/>
    <mergeCell ref="C48:M48"/>
    <mergeCell ref="C49:M49"/>
    <mergeCell ref="C51:M51"/>
    <mergeCell ref="C33:M33"/>
    <mergeCell ref="C37:M37"/>
    <mergeCell ref="C38:M38"/>
    <mergeCell ref="C44:M44"/>
    <mergeCell ref="C43:M43"/>
    <mergeCell ref="C26:M26"/>
    <mergeCell ref="C27:M27"/>
    <mergeCell ref="C28:M28"/>
    <mergeCell ref="C21:M21"/>
    <mergeCell ref="C22:M22"/>
    <mergeCell ref="C23:M23"/>
    <mergeCell ref="C24:M24"/>
    <mergeCell ref="A2:E2"/>
    <mergeCell ref="C20:M20"/>
    <mergeCell ref="C30:M30"/>
    <mergeCell ref="C31:M31"/>
    <mergeCell ref="P31:Z31"/>
    <mergeCell ref="C13:M13"/>
    <mergeCell ref="C34:M34"/>
    <mergeCell ref="C35:M35"/>
    <mergeCell ref="C36:M36"/>
    <mergeCell ref="C14:M14"/>
    <mergeCell ref="C15:M15"/>
    <mergeCell ref="C16:M16"/>
    <mergeCell ref="C17:M17"/>
    <mergeCell ref="EP29:EZ29"/>
    <mergeCell ref="FC29:FM29"/>
    <mergeCell ref="CP29:CZ29"/>
    <mergeCell ref="DC29:DM29"/>
    <mergeCell ref="DP29:DZ29"/>
    <mergeCell ref="EC29:EM29"/>
    <mergeCell ref="CC30:CM30"/>
    <mergeCell ref="BC29:BM29"/>
    <mergeCell ref="BP29:BZ29"/>
    <mergeCell ref="CC29:CM29"/>
    <mergeCell ref="BC30:BM30"/>
    <mergeCell ref="BP30:BZ30"/>
    <mergeCell ref="A1:I1"/>
    <mergeCell ref="C3:M3"/>
    <mergeCell ref="C4:M4"/>
    <mergeCell ref="F2:I2"/>
    <mergeCell ref="P29:Z29"/>
    <mergeCell ref="AC29:AM29"/>
    <mergeCell ref="AP29:AZ29"/>
    <mergeCell ref="C9:M9"/>
    <mergeCell ref="P32:Z32"/>
    <mergeCell ref="P30:Z30"/>
    <mergeCell ref="AP30:AZ30"/>
    <mergeCell ref="AC32:AM32"/>
    <mergeCell ref="AP32:AZ32"/>
    <mergeCell ref="AC31:AM31"/>
    <mergeCell ref="AC30:AM30"/>
    <mergeCell ref="C10:M10"/>
    <mergeCell ref="C11:M11"/>
    <mergeCell ref="C12:M12"/>
    <mergeCell ref="C29:M29"/>
    <mergeCell ref="C25:M25"/>
    <mergeCell ref="C5:M5"/>
    <mergeCell ref="C6:M6"/>
    <mergeCell ref="C7:M7"/>
    <mergeCell ref="C8:M8"/>
    <mergeCell ref="AC38:AM38"/>
    <mergeCell ref="AP38:AZ38"/>
    <mergeCell ref="P38:Z38"/>
    <mergeCell ref="AP31:AZ31"/>
    <mergeCell ref="C39:M39"/>
    <mergeCell ref="C32:M32"/>
    <mergeCell ref="HC29:HM29"/>
    <mergeCell ref="HP29:HZ29"/>
    <mergeCell ref="EC31:EM31"/>
    <mergeCell ref="EP31:EZ31"/>
    <mergeCell ref="FC31:FM31"/>
    <mergeCell ref="FP31:FZ31"/>
    <mergeCell ref="CC31:CM31"/>
    <mergeCell ref="CP31:CZ31"/>
    <mergeCell ref="BC31:BM31"/>
    <mergeCell ref="BC32:BM32"/>
    <mergeCell ref="CP32:CZ32"/>
    <mergeCell ref="CP30:CZ30"/>
    <mergeCell ref="DC30:DM30"/>
    <mergeCell ref="DP30:DZ30"/>
    <mergeCell ref="EC30:EM30"/>
    <mergeCell ref="EP30:EZ30"/>
    <mergeCell ref="FC30:FM30"/>
    <mergeCell ref="GC32:GM32"/>
    <mergeCell ref="IC30:IM30"/>
    <mergeCell ref="IP30:IV30"/>
    <mergeCell ref="IC29:IM29"/>
    <mergeCell ref="IC31:IM31"/>
    <mergeCell ref="GP31:GZ31"/>
    <mergeCell ref="HC31:HM31"/>
    <mergeCell ref="HP31:HZ31"/>
    <mergeCell ref="FP30:FZ30"/>
    <mergeCell ref="GC31:GM31"/>
    <mergeCell ref="IP29:IV29"/>
    <mergeCell ref="GC30:GM30"/>
    <mergeCell ref="GP30:GZ30"/>
    <mergeCell ref="FP29:FZ29"/>
    <mergeCell ref="GC29:GM29"/>
    <mergeCell ref="GP29:GZ29"/>
    <mergeCell ref="HC30:HM30"/>
    <mergeCell ref="HP30:HZ30"/>
    <mergeCell ref="IP31:IV31"/>
    <mergeCell ref="BP31:BZ31"/>
    <mergeCell ref="BP38:BZ38"/>
    <mergeCell ref="BP32:BZ32"/>
    <mergeCell ref="BC38:BM38"/>
    <mergeCell ref="DC31:DM31"/>
    <mergeCell ref="DP31:DZ31"/>
    <mergeCell ref="CC38:CM38"/>
    <mergeCell ref="CC32:CM32"/>
    <mergeCell ref="CP38:CZ38"/>
    <mergeCell ref="DC38:DM38"/>
    <mergeCell ref="HC32:HM32"/>
    <mergeCell ref="DC32:DM32"/>
    <mergeCell ref="DP32:DZ32"/>
    <mergeCell ref="EC32:EM32"/>
    <mergeCell ref="EP32:EZ32"/>
    <mergeCell ref="FP32:FZ32"/>
    <mergeCell ref="GP38:GZ38"/>
    <mergeCell ref="HC38:HM38"/>
    <mergeCell ref="HP38:HZ38"/>
    <mergeCell ref="GP32:GZ32"/>
    <mergeCell ref="FC32:FM32"/>
    <mergeCell ref="IC38:IM38"/>
    <mergeCell ref="IP38:IV38"/>
    <mergeCell ref="HP32:HZ32"/>
    <mergeCell ref="IC32:IM32"/>
    <mergeCell ref="IP32:IV32"/>
    <mergeCell ref="P39:Z39"/>
    <mergeCell ref="AC39:AM39"/>
    <mergeCell ref="AP39:AZ39"/>
    <mergeCell ref="BP39:BZ39"/>
    <mergeCell ref="CC39:CM39"/>
    <mergeCell ref="CP39:CZ39"/>
    <mergeCell ref="DC39:DM39"/>
    <mergeCell ref="DP39:DZ39"/>
    <mergeCell ref="EC39:EM39"/>
    <mergeCell ref="GC39:GM39"/>
    <mergeCell ref="FP38:FZ38"/>
    <mergeCell ref="GC38:GM38"/>
    <mergeCell ref="DP38:DZ38"/>
    <mergeCell ref="EC38:EM38"/>
    <mergeCell ref="EP38:EZ38"/>
    <mergeCell ref="FC38:FM38"/>
    <mergeCell ref="IP39:IV39"/>
    <mergeCell ref="EP39:EZ39"/>
    <mergeCell ref="FC39:FM39"/>
    <mergeCell ref="C58:M58"/>
    <mergeCell ref="IC39:IM39"/>
    <mergeCell ref="HP39:HZ39"/>
    <mergeCell ref="HC39:HM39"/>
    <mergeCell ref="FC40:FM40"/>
    <mergeCell ref="FP40:FZ40"/>
    <mergeCell ref="CC40:CM40"/>
    <mergeCell ref="CP40:CZ40"/>
    <mergeCell ref="DC40:DM40"/>
    <mergeCell ref="EP40:EZ40"/>
    <mergeCell ref="DP40:DZ40"/>
    <mergeCell ref="IC40:IM40"/>
    <mergeCell ref="BC39:BM39"/>
    <mergeCell ref="FP39:FZ39"/>
    <mergeCell ref="GP39:GZ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BC40:BM40"/>
    <mergeCell ref="BP40:BZ40"/>
    <mergeCell ref="AP40:AZ40"/>
    <mergeCell ref="C42:M42"/>
    <mergeCell ref="C41:M41"/>
    <mergeCell ref="C40:M40"/>
    <mergeCell ref="P40:Z40"/>
    <mergeCell ref="AC40:A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2012-08-31T17:47:30Z</cp:lastPrinted>
  <dcterms:created xsi:type="dcterms:W3CDTF">1997-12-04T19:04:30Z</dcterms:created>
  <dcterms:modified xsi:type="dcterms:W3CDTF">2012-11-21T14:16:28Z</dcterms:modified>
</cp:coreProperties>
</file>