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95" i="1" l="1"/>
  <c r="J467" i="1"/>
  <c r="G458" i="1"/>
  <c r="F458" i="1"/>
  <c r="G610" i="1"/>
  <c r="I610" i="1"/>
  <c r="F610" i="1"/>
  <c r="J525" i="1"/>
  <c r="G525" i="1"/>
  <c r="G520" i="1" l="1"/>
  <c r="I525" i="1"/>
  <c r="H525" i="1"/>
  <c r="F525" i="1"/>
  <c r="J520" i="1"/>
  <c r="I520" i="1"/>
  <c r="H520" i="1"/>
  <c r="F520" i="1"/>
  <c r="I281" i="1"/>
  <c r="I278" i="1"/>
  <c r="H471" i="1"/>
  <c r="H467" i="1"/>
  <c r="I357" i="1"/>
  <c r="H357" i="1"/>
  <c r="G357" i="1"/>
  <c r="H281" i="1"/>
  <c r="G281" i="1"/>
  <c r="G278" i="1"/>
  <c r="I276" i="1"/>
  <c r="G276" i="1"/>
  <c r="J275" i="1"/>
  <c r="I275" i="1"/>
  <c r="G275" i="1"/>
  <c r="H243" i="1"/>
  <c r="H203" i="1"/>
  <c r="J201" i="1"/>
  <c r="I204" i="1"/>
  <c r="I202" i="1"/>
  <c r="I201" i="1"/>
  <c r="I199" i="1"/>
  <c r="H208" i="1"/>
  <c r="H207" i="1"/>
  <c r="H202" i="1"/>
  <c r="H201" i="1"/>
  <c r="G208" i="1"/>
  <c r="G203" i="1"/>
  <c r="G202" i="1"/>
  <c r="G201" i="1"/>
  <c r="G199" i="1"/>
  <c r="F203" i="1"/>
  <c r="F202" i="1"/>
  <c r="F201" i="1"/>
  <c r="F199" i="1"/>
  <c r="H101" i="1" l="1"/>
  <c r="H153" i="1"/>
  <c r="H158" i="1"/>
  <c r="H154" i="1"/>
  <c r="H149" i="1"/>
  <c r="G96" i="1"/>
  <c r="F109" i="1"/>
  <c r="H30" i="1"/>
  <c r="F12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C10" i="10" s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C123" i="2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G660" i="1" s="1"/>
  <c r="L358" i="1"/>
  <c r="L359" i="1"/>
  <c r="I366" i="1"/>
  <c r="J289" i="1"/>
  <c r="J308" i="1"/>
  <c r="J327" i="1"/>
  <c r="K289" i="1"/>
  <c r="G31" i="13" s="1"/>
  <c r="K308" i="1"/>
  <c r="K327" i="1"/>
  <c r="L275" i="1"/>
  <c r="E108" i="2" s="1"/>
  <c r="L276" i="1"/>
  <c r="E109" i="2" s="1"/>
  <c r="L277" i="1"/>
  <c r="L278" i="1"/>
  <c r="L280" i="1"/>
  <c r="E117" i="2" s="1"/>
  <c r="L281" i="1"/>
  <c r="L282" i="1"/>
  <c r="E119" i="2" s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5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1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D18" i="2" s="1"/>
  <c r="E8" i="2"/>
  <c r="E18" i="2" s="1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C31" i="2" s="1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D61" i="2" s="1"/>
  <c r="D62" i="2" s="1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C102" i="2" s="1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C110" i="2"/>
  <c r="E110" i="2"/>
  <c r="E111" i="2"/>
  <c r="C112" i="2"/>
  <c r="E112" i="2"/>
  <c r="C113" i="2"/>
  <c r="E113" i="2"/>
  <c r="D114" i="2"/>
  <c r="F114" i="2"/>
  <c r="G114" i="2"/>
  <c r="C117" i="2"/>
  <c r="E118" i="2"/>
  <c r="E120" i="2"/>
  <c r="C121" i="2"/>
  <c r="E121" i="2"/>
  <c r="C122" i="2"/>
  <c r="E122" i="2"/>
  <c r="E123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G621" i="1" s="1"/>
  <c r="G50" i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F407" i="1" s="1"/>
  <c r="H642" i="1" s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I406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8" i="1"/>
  <c r="H639" i="1"/>
  <c r="G640" i="1"/>
  <c r="H640" i="1"/>
  <c r="H641" i="1"/>
  <c r="G642" i="1"/>
  <c r="G643" i="1"/>
  <c r="G644" i="1"/>
  <c r="G648" i="1"/>
  <c r="G649" i="1"/>
  <c r="H649" i="1"/>
  <c r="J649" i="1" s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K256" i="1"/>
  <c r="K270" i="1" s="1"/>
  <c r="G163" i="2"/>
  <c r="G159" i="2"/>
  <c r="F31" i="2"/>
  <c r="C26" i="10"/>
  <c r="L327" i="1"/>
  <c r="L350" i="1"/>
  <c r="A31" i="12"/>
  <c r="G8" i="2"/>
  <c r="G161" i="2"/>
  <c r="E49" i="2"/>
  <c r="D18" i="13"/>
  <c r="C18" i="13" s="1"/>
  <c r="F102" i="2"/>
  <c r="D17" i="13"/>
  <c r="C17" i="13" s="1"/>
  <c r="G158" i="2"/>
  <c r="C90" i="2"/>
  <c r="G80" i="2"/>
  <c r="F77" i="2"/>
  <c r="F80" i="2" s="1"/>
  <c r="F61" i="2"/>
  <c r="F62" i="2" s="1"/>
  <c r="D31" i="2"/>
  <c r="D49" i="2"/>
  <c r="G156" i="2"/>
  <c r="F49" i="2"/>
  <c r="F18" i="2"/>
  <c r="G162" i="2"/>
  <c r="G160" i="2"/>
  <c r="G157" i="2"/>
  <c r="G155" i="2"/>
  <c r="E143" i="2"/>
  <c r="G102" i="2"/>
  <c r="E102" i="2"/>
  <c r="D90" i="2"/>
  <c r="F90" i="2"/>
  <c r="E61" i="2"/>
  <c r="E62" i="2" s="1"/>
  <c r="G61" i="2"/>
  <c r="D19" i="13"/>
  <c r="C19" i="13" s="1"/>
  <c r="E13" i="13"/>
  <c r="C13" i="13" s="1"/>
  <c r="A40" i="12" l="1"/>
  <c r="I445" i="1"/>
  <c r="G641" i="1" s="1"/>
  <c r="J641" i="1" s="1"/>
  <c r="I662" i="1"/>
  <c r="L543" i="1"/>
  <c r="L544" i="1" s="1"/>
  <c r="F544" i="1"/>
  <c r="L528" i="1"/>
  <c r="D126" i="2"/>
  <c r="D127" i="2" s="1"/>
  <c r="F660" i="1"/>
  <c r="D29" i="13"/>
  <c r="C29" i="13" s="1"/>
  <c r="H660" i="1"/>
  <c r="L361" i="1"/>
  <c r="C17" i="10"/>
  <c r="C16" i="10"/>
  <c r="J337" i="1"/>
  <c r="J351" i="1" s="1"/>
  <c r="E114" i="2"/>
  <c r="L289" i="1"/>
  <c r="F31" i="13"/>
  <c r="G650" i="1"/>
  <c r="J650" i="1" s="1"/>
  <c r="H661" i="1"/>
  <c r="I661" i="1" s="1"/>
  <c r="D15" i="13"/>
  <c r="C15" i="13" s="1"/>
  <c r="C21" i="10"/>
  <c r="H646" i="1"/>
  <c r="L246" i="1"/>
  <c r="D6" i="13"/>
  <c r="C6" i="13" s="1"/>
  <c r="C11" i="10"/>
  <c r="H659" i="1"/>
  <c r="H663" i="1" s="1"/>
  <c r="H666" i="1" s="1"/>
  <c r="G33" i="13"/>
  <c r="D14" i="13"/>
  <c r="C14" i="13" s="1"/>
  <c r="J648" i="1"/>
  <c r="C111" i="2"/>
  <c r="C109" i="2"/>
  <c r="D12" i="13"/>
  <c r="C12" i="13" s="1"/>
  <c r="C120" i="2"/>
  <c r="E8" i="13"/>
  <c r="C8" i="13" s="1"/>
  <c r="C119" i="2"/>
  <c r="D7" i="13"/>
  <c r="C7" i="13" s="1"/>
  <c r="C118" i="2"/>
  <c r="L210" i="1"/>
  <c r="L256" i="1" s="1"/>
  <c r="L270" i="1" s="1"/>
  <c r="G631" i="1" s="1"/>
  <c r="J631" i="1" s="1"/>
  <c r="A22" i="12"/>
  <c r="F51" i="1"/>
  <c r="H616" i="1" s="1"/>
  <c r="J616" i="1" s="1"/>
  <c r="E90" i="2"/>
  <c r="C69" i="2"/>
  <c r="F139" i="1"/>
  <c r="C61" i="2"/>
  <c r="C62" i="2" s="1"/>
  <c r="F50" i="2"/>
  <c r="H51" i="1"/>
  <c r="H618" i="1" s="1"/>
  <c r="J618" i="1" s="1"/>
  <c r="D50" i="2"/>
  <c r="G51" i="1"/>
  <c r="H617" i="1" s="1"/>
  <c r="C18" i="2"/>
  <c r="C80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192" i="1" s="1"/>
  <c r="G628" i="1" s="1"/>
  <c r="J628" i="1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J647" i="1" l="1"/>
  <c r="K551" i="1"/>
  <c r="I660" i="1"/>
  <c r="H671" i="1"/>
  <c r="C27" i="10"/>
  <c r="C28" i="10" s="1"/>
  <c r="D23" i="10" s="1"/>
  <c r="G634" i="1"/>
  <c r="J634" i="1" s="1"/>
  <c r="J270" i="1"/>
  <c r="C114" i="2"/>
  <c r="C127" i="2"/>
  <c r="F659" i="1"/>
  <c r="F663" i="1" s="1"/>
  <c r="F666" i="1" s="1"/>
  <c r="C38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22" i="10" l="1"/>
  <c r="D21" i="10"/>
  <c r="D16" i="10"/>
  <c r="D27" i="10"/>
  <c r="D20" i="10"/>
  <c r="D18" i="10"/>
  <c r="C30" i="10"/>
  <c r="D25" i="10"/>
  <c r="D12" i="10"/>
  <c r="D19" i="10"/>
  <c r="D11" i="10"/>
  <c r="D24" i="10"/>
  <c r="D15" i="10"/>
  <c r="D10" i="10"/>
  <c r="D13" i="10"/>
  <c r="D26" i="10"/>
  <c r="D17" i="10"/>
  <c r="C144" i="2"/>
  <c r="F671" i="1"/>
  <c r="C4" i="10" s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/>
  <c r="D28" i="10" l="1"/>
  <c r="D40" i="10"/>
  <c r="D35" i="10"/>
  <c r="D38" i="10"/>
  <c r="D37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<sst xmlns="http://schemas.openxmlformats.org/spreadsheetml/2006/main" count="3943" uniqueCount="910">
  <si>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</si>
  <si>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</si>
  <si>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</si>
  <si>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</si>
  <si>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</si>
  <si>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</si>
  <si>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</si>
  <si>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</si>
  <si>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</si>
  <si>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</si>
  <si>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</si>
  <si>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</si>
  <si>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</si>
  <si>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</si>
  <si>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</si>
  <si>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</si>
  <si>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</si>
  <si>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</si>
  <si>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</si>
  <si>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</si>
  <si>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</si>
  <si>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</si>
  <si>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</si>
  <si>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</si>
  <si>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</si>
  <si>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</si>
  <si>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</si>
  <si>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</si>
  <si>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</si>
  <si>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</si>
  <si>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</si>
  <si>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</si>
  <si>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</si>
  <si>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</si>
  <si>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</si>
  <si>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</si>
  <si>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</si>
  <si>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</si>
  <si>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</si>
  <si>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</si>
  <si>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</si>
  <si>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</si>
  <si>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</si>
  <si>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</si>
  <si>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</si>
  <si>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</si>
  <si>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</si>
  <si>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</si>
  <si>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</si>
  <si>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</si>
  <si>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</si>
  <si>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</si>
  <si>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</si>
  <si>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</si>
  <si>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</si>
  <si>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</si>
  <si>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</si>
  <si>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</si>
  <si>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</si>
  <si>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</si>
  <si>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</si>
  <si>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</si>
  <si>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</si>
  <si>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</si>
  <si>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</si>
  <si>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</si>
  <si>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</si>
  <si>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</si>
  <si>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</si>
  <si>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</si>
  <si>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</si>
  <si>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</si>
  <si>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</si>
  <si>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</si>
  <si>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</si>
  <si>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</si>
  <si>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</si>
  <si>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</si>
  <si>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</si>
  <si>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</si>
  <si>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</si>
  <si>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</si>
  <si>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</si>
  <si>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</si>
  <si>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</si>
  <si>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</si>
  <si>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</si>
  <si>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</si>
  <si>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</si>
  <si>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</si>
  <si>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</si>
  <si>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</si>
  <si>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</si>
  <si>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</si>
  <si>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</si>
  <si>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</si>
  <si>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</si>
  <si>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</si>
  <si>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</si>
  <si>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</si>
  <si>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</si>
  <si>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</si>
  <si>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</si>
  <si>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</si>
  <si>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</si>
  <si>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</si>
  <si>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</si>
  <si>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</si>
  <si>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</si>
  <si>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</si>
  <si>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</si>
  <si>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</si>
  <si>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</si>
  <si>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</si>
  <si>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</si>
  <si>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</si>
  <si>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</si>
  <si>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</si>
  <si>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</si>
  <si>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</si>
  <si>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</si>
  <si>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</si>
  <si>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</si>
  <si>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</si>
  <si>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</si>
  <si>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</si>
  <si>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</si>
  <si>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</si>
  <si>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</si>
  <si>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</si>
  <si>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</si>
  <si>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</si>
  <si>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</si>
  <si>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</si>
  <si>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</si>
  <si>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</si>
  <si>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</si>
  <si>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</si>
  <si>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</si>
  <si>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</si>
  <si>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</si>
  <si>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</si>
  <si>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</si>
  <si>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</si>
  <si>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</si>
  <si>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</si>
  <si>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</si>
  <si>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</si>
  <si>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</si>
  <si>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</si>
  <si>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</si>
  <si>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</si>
  <si>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</si>
  <si>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</si>
  <si>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</si>
  <si>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</si>
  <si>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</si>
  <si>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</si>
  <si>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</si>
  <si>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</si>
  <si>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</si>
  <si>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</si>
  <si>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</si>
  <si>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</si>
  <si>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</si>
  <si>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</si>
  <si>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</si>
  <si>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</si>
  <si>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</si>
  <si>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</si>
  <si>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</si>
  <si>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</si>
  <si>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</si>
  <si>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</si>
  <si>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</si>
  <si>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</si>
  <si>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</si>
  <si>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</si>
  <si>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</si>
  <si>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</si>
  <si>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</si>
  <si>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</si>
  <si>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</si>
  <si>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</si>
  <si>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</si>
  <si>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</si>
  <si>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</si>
  <si>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</si>
  <si>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</si>
  <si>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</si>
  <si>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</si>
  <si>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</si>
  <si>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</si>
  <si>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</si>
  <si>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</si>
  <si>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</si>
  <si>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</si>
  <si>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</si>
  <si>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</si>
  <si>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</si>
  <si>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</si>
  <si>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</si>
  <si>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</si>
  <si>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</si>
  <si>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</si>
  <si>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</si>
  <si>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</si>
  <si>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</si>
  <si>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</si>
  <si>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</si>
  <si>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</si>
  <si>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</si>
  <si>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</si>
  <si>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</si>
  <si>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</si>
  <si>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</si>
  <si>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</si>
  <si>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</si>
  <si>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</si>
  <si>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</si>
  <si>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</si>
  <si>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</si>
  <si>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</si>
  <si>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</si>
  <si>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</si>
  <si>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</si>
  <si>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</si>
  <si>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</si>
  <si>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</si>
  <si>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</si>
  <si>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</si>
  <si>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</si>
  <si>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</si>
  <si>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</si>
  <si>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</si>
  <si>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</si>
  <si>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</si>
  <si>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</si>
  <si>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</si>
  <si>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</si>
  <si>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</si>
  <si>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</si>
  <si>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</si>
  <si>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</si>
  <si>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</si>
  <si>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</si>
  <si>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</si>
  <si>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</si>
  <si>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</si>
  <si>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</si>
  <si>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</si>
  <si>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</si>
  <si>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</si>
  <si>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</si>
  <si>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</si>
  <si>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</si>
  <si>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</si>
  <si>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</si>
  <si>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</si>
  <si>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</si>
  <si>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</si>
  <si>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</si>
  <si>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</si>
  <si>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</si>
  <si>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</si>
  <si>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</si>
  <si>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</si>
  <si>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</si>
  <si>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</si>
  <si>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</si>
  <si>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</si>
  <si>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</si>
  <si>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</si>
  <si>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</si>
  <si>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</si>
  <si>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</si>
  <si>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</si>
  <si>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</si>
  <si>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</si>
  <si>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</si>
  <si>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</si>
  <si>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</si>
  <si>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</si>
  <si>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</si>
  <si>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</si>
  <si>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</si>
  <si>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</si>
  <si>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</si>
  <si>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</si>
  <si>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</si>
  <si>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</si>
  <si>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</si>
  <si>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</si>
  <si>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</si>
  <si>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</si>
  <si>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</si>
  <si>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</si>
  <si>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</si>
  <si>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</si>
  <si>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</si>
  <si>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</si>
  <si>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</si>
  <si>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</si>
  <si>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</si>
  <si>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</si>
  <si>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</si>
  <si>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</si>
  <si>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</si>
  <si>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</si>
  <si>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</si>
  <si>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</si>
  <si>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</si>
  <si>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</si>
  <si>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</si>
  <si>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</si>
  <si>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</si>
  <si>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</si>
  <si>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</si>
  <si>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</si>
  <si>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</si>
  <si>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</si>
  <si>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</si>
  <si>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</si>
  <si>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</si>
  <si>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</si>
  <si>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</si>
  <si>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</si>
  <si>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</si>
  <si>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</si>
  <si>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</si>
  <si>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</si>
  <si>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</si>
  <si>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</si>
  <si>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</si>
  <si>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</si>
  <si>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</si>
  <si>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</si>
  <si>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</si>
  <si>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</si>
  <si>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</si>
  <si>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</si>
  <si>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</si>
  <si>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</si>
  <si>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</si>
  <si>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</si>
  <si>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</si>
  <si>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</si>
  <si>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</si>
  <si>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</si>
  <si>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</si>
  <si>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</si>
  <si>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</si>
  <si>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</si>
  <si>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</si>
  <si>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</si>
  <si>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</si>
  <si>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</si>
  <si>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</si>
  <si>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</si>
  <si>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</si>
  <si>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</si>
  <si>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</si>
  <si>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</si>
  <si>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</si>
  <si>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</si>
  <si>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</si>
  <si>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</si>
  <si>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</si>
  <si>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</si>
  <si>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</si>
  <si>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</si>
  <si>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</si>
  <si>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</si>
  <si>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</si>
  <si>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</si>
  <si>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</si>
  <si>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</si>
  <si>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</si>
  <si>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</si>
  <si>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</si>
  <si>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</si>
  <si>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</si>
  <si>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</si>
  <si>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</si>
  <si>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</si>
  <si>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</si>
  <si>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</si>
  <si>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</si>
  <si>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</si>
  <si>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</si>
  <si>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</si>
  <si>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</si>
  <si>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</si>
  <si>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</si>
  <si>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</si>
  <si>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</si>
  <si>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</si>
  <si>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</si>
  <si>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</si>
  <si>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</si>
  <si>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</si>
  <si>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</si>
  <si>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</si>
  <si>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</si>
  <si>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</si>
  <si>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</si>
  <si>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</si>
  <si>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</si>
  <si>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</si>
  <si>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</si>
  <si>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</si>
  <si>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</si>
  <si>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</si>
  <si>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</si>
  <si>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</si>
  <si>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</si>
  <si>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</si>
  <si>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</si>
  <si>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</si>
  <si>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</si>
  <si>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</si>
  <si>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</si>
  <si>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</si>
  <si>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</si>
  <si>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</si>
  <si>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</si>
  <si>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</si>
  <si>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</si>
  <si>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</si>
  <si>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</si>
  <si>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</si>
  <si>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</si>
  <si>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</si>
  <si>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</si>
  <si>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</si>
  <si>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</si>
  <si>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</si>
  <si>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</si>
  <si>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</si>
  <si>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</si>
  <si>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</si>
  <si>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</si>
  <si>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</si>
  <si>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</si>
  <si>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</si>
  <si>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</si>
  <si>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</si>
  <si>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</si>
  <si>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</si>
  <si>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</si>
  <si>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</si>
  <si>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</si>
  <si>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</si>
  <si>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</si>
  <si>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</si>
  <si>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</si>
  <si>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</si>
  <si>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</si>
  <si>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</si>
  <si>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</si>
  <si>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</si>
  <si>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</si>
  <si>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</si>
  <si>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</si>
  <si>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</si>
  <si>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</si>
  <si>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</si>
  <si>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</si>
  <si>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</si>
  <si>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</si>
  <si>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</si>
  <si>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</si>
  <si>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</si>
  <si>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</si>
  <si>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</si>
  <si>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</si>
  <si>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</si>
  <si>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</si>
  <si>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</si>
  <si>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</si>
  <si>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</si>
  <si>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</si>
  <si>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</si>
  <si>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</si>
  <si>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</si>
  <si>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</si>
  <si>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</si>
  <si>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</si>
  <si>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</si>
  <si>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</si>
  <si>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</si>
  <si>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</si>
  <si>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</si>
  <si>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</si>
  <si>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</si>
  <si>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</si>
  <si>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</si>
  <si>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</si>
  <si>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</si>
  <si>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</si>
  <si>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</si>
  <si>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</si>
  <si>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</si>
  <si>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</si>
  <si>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</si>
  <si>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</si>
  <si>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</si>
  <si>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</si>
  <si>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</si>
  <si>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</si>
  <si>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</si>
  <si>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</si>
  <si>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</si>
  <si>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</si>
  <si>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</si>
  <si>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</si>
  <si>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</si>
  <si>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</si>
  <si>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</si>
  <si>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</si>
  <si>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</si>
  <si>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</si>
  <si>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</si>
  <si>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</si>
  <si>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</si>
  <si>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</si>
  <si>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</si>
  <si>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</si>
  <si>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</si>
  <si>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</si>
  <si>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</si>
  <si>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</si>
  <si>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</si>
  <si>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</si>
  <si>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</si>
  <si>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</si>
  <si>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</si>
  <si>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</si>
  <si>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</si>
  <si>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</si>
  <si>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</si>
  <si>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</si>
  <si>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</si>
  <si>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</si>
  <si>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</si>
  <si>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</si>
  <si>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</si>
  <si>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</si>
  <si>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</si>
  <si>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</si>
  <si>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</si>
  <si>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</si>
  <si>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</si>
  <si>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</si>
  <si>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</si>
  <si>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</si>
  <si>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</si>
  <si>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</si>
  <si>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</si>
  <si>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</si>
  <si>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</si>
  <si>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</si>
  <si>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</si>
  <si>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</si>
  <si>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</si>
  <si>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</si>
  <si>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</si>
  <si>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</si>
  <si>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</si>
  <si>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</si>
  <si>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</si>
  <si>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</si>
  <si>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</si>
  <si>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</si>
  <si>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</si>
  <si>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</si>
  <si>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</si>
  <si>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</si>
  <si>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</si>
  <si>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</si>
  <si>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</si>
  <si>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</si>
  <si>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</si>
  <si>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</si>
  <si>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</si>
  <si>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</si>
  <si>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</si>
  <si>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</si>
  <si>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</si>
  <si>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</si>
  <si>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</si>
  <si>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</si>
  <si>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</si>
  <si>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</si>
  <si>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</si>
  <si>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</si>
  <si>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</si>
  <si>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</si>
  <si>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</si>
  <si>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</si>
  <si>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</si>
  <si>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</si>
  <si>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</si>
  <si>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</si>
  <si>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</si>
  <si>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</si>
  <si>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</si>
  <si>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</si>
  <si>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</si>
  <si>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</si>
  <si>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</si>
  <si>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</si>
  <si>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</si>
  <si>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</si>
  <si>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</si>
  <si>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</si>
  <si>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</si>
  <si>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</si>
  <si>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</si>
  <si>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</si>
  <si>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</si>
  <si>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</si>
  <si>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</si>
  <si>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</si>
  <si>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</si>
  <si>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</si>
  <si>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</si>
  <si>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</si>
  <si>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</si>
  <si>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</si>
  <si>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</si>
  <si>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</si>
  <si>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</si>
  <si>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</si>
  <si>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</si>
  <si>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</si>
  <si>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</si>
  <si>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</si>
  <si>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</si>
  <si>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</si>
  <si>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</si>
  <si>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</si>
  <si>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</si>
  <si>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</si>
  <si>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</si>
  <si>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</si>
  <si>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</si>
  <si>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</si>
  <si>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</si>
  <si>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</si>
  <si>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</si>
  <si>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</si>
  <si>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</si>
  <si>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</si>
  <si>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</si>
  <si>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</si>
  <si>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</si>
  <si>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</si>
  <si>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</si>
  <si>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</si>
  <si>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</si>
  <si>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</si>
  <si>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</si>
  <si>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</si>
  <si>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</si>
  <si>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</si>
  <si>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</si>
  <si>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</si>
  <si>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</si>
  <si>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</si>
  <si>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</si>
  <si>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</si>
  <si>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</si>
  <si>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</si>
  <si>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</si>
  <si>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</si>
  <si>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</si>
  <si>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</si>
  <si>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</si>
  <si>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</si>
  <si>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</si>
  <si>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</si>
  <si>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</si>
  <si>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</si>
  <si>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</si>
  <si>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</si>
  <si>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</si>
  <si>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</si>
  <si>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</si>
  <si>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</si>
  <si>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</si>
  <si>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</si>
  <si>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</si>
  <si>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</si>
  <si>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</si>
  <si>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</si>
  <si>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</si>
  <si>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</si>
  <si>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</si>
  <si>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</si>
  <si>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</si>
  <si>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</si>
  <si>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</si>
  <si>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</si>
  <si>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</si>
  <si>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</si>
  <si>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</si>
  <si>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</si>
  <si>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</si>
  <si>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</si>
  <si>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</si>
  <si>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</si>
  <si>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</si>
  <si>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</si>
  <si>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</si>
  <si>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</si>
  <si>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</si>
  <si>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</si>
  <si>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</si>
  <si>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</si>
  <si>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</si>
  <si>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</si>
  <si>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</si>
  <si>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</si>
  <si>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</si>
  <si>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</si>
  <si>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</si>
  <si>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</si>
  <si>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</si>
  <si>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</si>
  <si>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</si>
  <si>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</si>
  <si>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</si>
  <si>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</si>
  <si>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</si>
  <si>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</si>
  <si>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</si>
  <si>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</si>
  <si>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</si>
  <si>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</si>
  <si>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</si>
  <si>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</si>
  <si>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</si>
  <si>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</si>
  <si>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</si>
  <si>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</si>
  <si>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</si>
  <si>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</si>
  <si>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</si>
  <si>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</si>
  <si>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</si>
  <si>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</si>
  <si>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</si>
  <si>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</si>
  <si>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</si>
  <si>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</si>
  <si>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</si>
  <si>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</si>
  <si>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</si>
  <si>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</si>
  <si>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</si>
  <si>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</si>
  <si>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</si>
  <si>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</si>
  <si>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</si>
  <si>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</si>
  <si>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</si>
  <si>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</si>
  <si>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</si>
  <si>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</si>
  <si>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</si>
  <si>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</si>
  <si>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</si>
  <si>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</si>
  <si>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</si>
  <si>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</si>
  <si>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</si>
  <si>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</si>
  <si>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</si>
  <si>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</si>
  <si>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</si>
  <si>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</si>
  <si>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</si>
  <si>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</si>
  <si>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</si>
  <si>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</si>
  <si>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</si>
  <si>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</si>
  <si>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</si>
  <si>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</si>
  <si>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</si>
  <si>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</si>
  <si>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</si>
  <si>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</si>
  <si>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</si>
  <si>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</si>
  <si>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</si>
  <si>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</si>
  <si>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</si>
  <si>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</si>
  <si>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</si>
  <si>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</si>
  <si>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</si>
  <si>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</si>
  <si>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</si>
  <si>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</si>
  <si>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</si>
  <si>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</si>
  <si>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</si>
  <si>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</si>
  <si>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</si>
  <si>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</si>
  <si>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</si>
  <si>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</si>
  <si>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</si>
  <si>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</si>
  <si>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</si>
  <si>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</si>
  <si>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</si>
  <si>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</si>
  <si>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</si>
  <si>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</si>
  <si>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</si>
  <si>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</si>
  <si>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</si>
  <si>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</si>
  <si>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</si>
  <si>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</si>
  <si>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</si>
  <si>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</si>
  <si>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</si>
  <si>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</si>
  <si>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</si>
  <si>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</si>
  <si>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</si>
  <si>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</si>
  <si>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</si>
  <si>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</si>
  <si>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</si>
  <si>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</si>
  <si>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</si>
  <si>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</si>
  <si>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</si>
  <si>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</si>
  <si>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</si>
  <si>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</si>
  <si>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</si>
  <si>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</si>
  <si>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</si>
  <si>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</si>
  <si>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</si>
  <si>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</si>
  <si>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</si>
  <si>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</si>
  <si>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</si>
  <si>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</si>
  <si>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</si>
  <si>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</si>
  <si>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</si>
  <si>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</si>
  <si>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</si>
  <si>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</si>
  <si>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</si>
  <si>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</si>
  <si>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</si>
  <si>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</si>
  <si>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</si>
  <si>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</si>
  <si>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</si>
  <si>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</si>
  <si>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</si>
  <si>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</si>
  <si>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</si>
  <si>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</si>
  <si>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</si>
  <si>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</si>
  <si>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</si>
  <si>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</si>
  <si>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</si>
  <si>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</si>
  <si>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</si>
  <si>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</si>
  <si>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</si>
  <si>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</si>
  <si>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</si>
  <si>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</si>
  <si>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</si>
  <si>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</si>
  <si>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</si>
  <si>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</si>
  <si>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</si>
  <si>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</si>
  <si>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</si>
  <si>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</si>
  <si>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</si>
  <si>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</si>
  <si>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</si>
  <si>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</si>
  <si>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</si>
  <si>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</si>
  <si>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</si>
  <si>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</si>
  <si>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</si>
  <si>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</si>
  <si>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</si>
  <si>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</si>
  <si>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</si>
  <si>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</si>
  <si>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</si>
  <si>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Chesterfield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</si>
</sst>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20" zoomScaleNormal="12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95</v>
      </c>
      <c r="C2" s="21">
        <v>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198732.03+2000-91086.51</f>
        <v>109645.52</v>
      </c>
      <c r="G9" s="18">
        <v>2374.81</v>
      </c>
      <c r="H9" s="18">
        <v>165.56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89249.23</v>
      </c>
      <c r="G10" s="18"/>
      <c r="H10" s="18"/>
      <c r="I10" s="18"/>
      <c r="J10" s="67">
        <f>SUM(I439)</f>
        <v>407852.91000000003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65489.95+34168.5</f>
        <v>99658.45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71980.649999999994</v>
      </c>
      <c r="G13" s="18"/>
      <c r="H13" s="18">
        <v>103662.52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721.9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599</v>
      </c>
      <c r="G17" s="18"/>
      <c r="H17" s="18"/>
      <c r="I17" s="18">
        <v>34168.5</v>
      </c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371132.85</v>
      </c>
      <c r="G19" s="41">
        <f>SUM(G9:G18)</f>
        <v>3096.71</v>
      </c>
      <c r="H19" s="41">
        <f>SUM(H9:H18)</f>
        <v>103828.08</v>
      </c>
      <c r="I19" s="41">
        <f>SUM(I9:I18)</f>
        <v>34168.5</v>
      </c>
      <c r="J19" s="41">
        <f>SUM(J9:J18)</f>
        <v>407852.91000000003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65489.95</v>
      </c>
      <c r="I22" s="18">
        <v>34168.5</v>
      </c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27844.2</v>
      </c>
      <c r="G24" s="18"/>
      <c r="H24" s="18">
        <v>37561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17289.87</v>
      </c>
      <c r="G28" s="18">
        <v>739.89</v>
      </c>
      <c r="H28" s="18">
        <v>578.55999999999995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2356.8200000000002</v>
      </c>
      <c r="H30" s="18">
        <f>33.01+165.56</f>
        <v>198.57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45134.07</v>
      </c>
      <c r="G32" s="41">
        <f>SUM(G22:G31)</f>
        <v>3096.71</v>
      </c>
      <c r="H32" s="41">
        <f>SUM(H22:H31)</f>
        <v>103828.08</v>
      </c>
      <c r="I32" s="41">
        <f>SUM(I22:I31)</f>
        <v>34168.5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599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407852.91000000003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7984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242415.78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325998.78000000003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407852.91000000003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371132.85000000003</v>
      </c>
      <c r="G51" s="41">
        <f>G50+G32</f>
        <v>3096.71</v>
      </c>
      <c r="H51" s="41">
        <f>H50+H32</f>
        <v>103828.08</v>
      </c>
      <c r="I51" s="41">
        <f>I50+I32</f>
        <v>34168.5</v>
      </c>
      <c r="J51" s="41">
        <f>J50+J32</f>
        <v>407852.91000000003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4710580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4710580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1724.6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300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98543.18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100567.78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1459.83</v>
      </c>
      <c r="G95" s="18"/>
      <c r="H95" s="18"/>
      <c r="I95" s="18"/>
      <c r="J95" s="18">
        <f>1709.57+2590.11</f>
        <v>4299.68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10076.3+4271.5+6249.3+98.7+51504.25</f>
        <v>72200.05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119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250+334.44</f>
        <v>584.44000000000005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37400.21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1510.42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484.51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26969.38+4921.49</f>
        <v>31890.870000000003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72864.84</v>
      </c>
      <c r="G110" s="41">
        <f>SUM(G95:G109)</f>
        <v>72200.05</v>
      </c>
      <c r="H110" s="41">
        <f>SUM(H95:H109)</f>
        <v>584.44000000000005</v>
      </c>
      <c r="I110" s="41">
        <f>SUM(I95:I109)</f>
        <v>0</v>
      </c>
      <c r="J110" s="41">
        <f>SUM(J95:J109)</f>
        <v>4299.68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4884012.62</v>
      </c>
      <c r="G111" s="41">
        <f>G59+G110</f>
        <v>72200.05</v>
      </c>
      <c r="H111" s="41">
        <f>H59+H78+H93+H110</f>
        <v>584.44000000000005</v>
      </c>
      <c r="I111" s="41">
        <f>I59+I110</f>
        <v>0</v>
      </c>
      <c r="J111" s="41">
        <f>J59+J110</f>
        <v>4299.68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1142063.48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1237720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989.52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4385.3100000000004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2385158.31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223345.57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1441.82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223345.57</v>
      </c>
      <c r="G135" s="41">
        <f>SUM(G122:G134)</f>
        <v>1441.82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2608503.88</v>
      </c>
      <c r="G139" s="41">
        <f>G120+SUM(G135:G136)</f>
        <v>1441.82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f>152.43+16986.53+6279.8</f>
        <v>23418.76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0.76+32168.2</f>
        <v>32168.959999999999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1071.26+20891.45+8922.71</f>
        <v>30885.42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32533.84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18420.06+109354.39+1758.39</f>
        <v>129532.84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100676.43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51124.22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151800.65</v>
      </c>
      <c r="G161" s="41">
        <f>SUM(G149:G160)</f>
        <v>32533.84</v>
      </c>
      <c r="H161" s="41">
        <f>SUM(H149:H160)</f>
        <v>216005.97999999998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151800.65</v>
      </c>
      <c r="G168" s="41">
        <f>G146+G161+SUM(G162:G167)</f>
        <v>32533.84</v>
      </c>
      <c r="H168" s="41">
        <f>H146+H161+SUM(H162:H167)</f>
        <v>216005.97999999998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8613.5300000000007</v>
      </c>
      <c r="H178" s="18"/>
      <c r="I178" s="18"/>
      <c r="J178" s="18">
        <v>25000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8613.5300000000007</v>
      </c>
      <c r="H182" s="41">
        <f>SUM(H178:H181)</f>
        <v>0</v>
      </c>
      <c r="I182" s="41">
        <f>SUM(I178:I181)</f>
        <v>0</v>
      </c>
      <c r="J182" s="41">
        <f>SUM(J178:J181)</f>
        <v>25000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36899</v>
      </c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36899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36899</v>
      </c>
      <c r="G191" s="41">
        <f>G182+SUM(G187:G190)</f>
        <v>8613.5300000000007</v>
      </c>
      <c r="H191" s="41">
        <f>+H182+SUM(H187:H190)</f>
        <v>0</v>
      </c>
      <c r="I191" s="41">
        <f>I176+I182+SUM(I187:I190)</f>
        <v>0</v>
      </c>
      <c r="J191" s="41">
        <f>J182</f>
        <v>25000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7681216.1500000004</v>
      </c>
      <c r="G192" s="47">
        <f>G111+G139+G168+G191</f>
        <v>114789.24</v>
      </c>
      <c r="H192" s="47">
        <f>H111+H139+H168+H191</f>
        <v>216590.41999999998</v>
      </c>
      <c r="I192" s="47">
        <f>I111+I139+I168+I191</f>
        <v>0</v>
      </c>
      <c r="J192" s="47">
        <f>J111+J139+J191</f>
        <v>29299.68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1416539.95</v>
      </c>
      <c r="G196" s="18">
        <v>542744.27</v>
      </c>
      <c r="H196" s="18">
        <v>893.25</v>
      </c>
      <c r="I196" s="18">
        <v>37965.879999999997</v>
      </c>
      <c r="J196" s="18">
        <v>6406.67</v>
      </c>
      <c r="K196" s="18"/>
      <c r="L196" s="19">
        <f>SUM(F196:K196)</f>
        <v>2004550.0199999998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568033.30000000005</v>
      </c>
      <c r="G197" s="18">
        <v>386054.69</v>
      </c>
      <c r="H197" s="18">
        <v>96046.6</v>
      </c>
      <c r="I197" s="18">
        <v>3539.59</v>
      </c>
      <c r="J197" s="18">
        <v>225.33</v>
      </c>
      <c r="K197" s="18"/>
      <c r="L197" s="19">
        <f>SUM(F197:K197)</f>
        <v>1053899.5100000002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12700+13855.07</f>
        <v>26555.07</v>
      </c>
      <c r="G199" s="18">
        <f>1570.88+1255.05</f>
        <v>2825.9300000000003</v>
      </c>
      <c r="H199" s="18">
        <v>11396.12</v>
      </c>
      <c r="I199" s="18">
        <f>2975.23+251.11</f>
        <v>3226.34</v>
      </c>
      <c r="J199" s="18">
        <v>416.73</v>
      </c>
      <c r="K199" s="18">
        <v>4715.59</v>
      </c>
      <c r="L199" s="19">
        <f>SUM(F199:K199)</f>
        <v>49135.780000000013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48350.12+49120.08+59008.04+56650.1+61161.1</f>
        <v>274289.44</v>
      </c>
      <c r="G201" s="18">
        <f>27516.88+10066.25+25233.06+29203+19703.31</f>
        <v>111722.5</v>
      </c>
      <c r="H201" s="18">
        <f>9426.33+7056+7420+6837.2+50+509.17</f>
        <v>31298.7</v>
      </c>
      <c r="I201" s="18">
        <f>189.54+991.31+1388.26+1393.84+482.45</f>
        <v>4445.3999999999996</v>
      </c>
      <c r="J201" s="18">
        <f>75+150+1837.36+199.84+369.18</f>
        <v>2631.3799999999997</v>
      </c>
      <c r="K201" s="18"/>
      <c r="L201" s="19">
        <f t="shared" ref="L201:L207" si="0">SUM(F201:K201)</f>
        <v>424387.42000000004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11971.19+63099.92</f>
        <v>75071.11</v>
      </c>
      <c r="G202" s="18">
        <f>2325.83+12015+26014.88</f>
        <v>40355.71</v>
      </c>
      <c r="H202" s="18">
        <f>22287.02+377.95+6378.75</f>
        <v>29043.72</v>
      </c>
      <c r="I202" s="18">
        <f>2221.76+9188.25</f>
        <v>11410.01</v>
      </c>
      <c r="J202" s="18">
        <v>221</v>
      </c>
      <c r="K202" s="18">
        <v>311</v>
      </c>
      <c r="L202" s="19">
        <f t="shared" si="0"/>
        <v>156412.55000000002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5013.06+3277</f>
        <v>8290.0600000000013</v>
      </c>
      <c r="G203" s="18">
        <f>396.19+262.16</f>
        <v>658.35</v>
      </c>
      <c r="H203" s="18">
        <f>777.52+150+7875+10845.82+150+430533</f>
        <v>450331.34</v>
      </c>
      <c r="I203" s="18">
        <v>1412.41</v>
      </c>
      <c r="J203" s="18"/>
      <c r="K203" s="18">
        <v>3766.09</v>
      </c>
      <c r="L203" s="19">
        <f t="shared" si="0"/>
        <v>464458.25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210048.06</v>
      </c>
      <c r="G204" s="18">
        <v>86207.45</v>
      </c>
      <c r="H204" s="18">
        <v>10317.83</v>
      </c>
      <c r="I204" s="18">
        <f>414.51+1149.76</f>
        <v>1564.27</v>
      </c>
      <c r="J204" s="18"/>
      <c r="K204" s="18">
        <v>1519</v>
      </c>
      <c r="L204" s="19">
        <f t="shared" si="0"/>
        <v>309656.61000000004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112445.01</v>
      </c>
      <c r="G206" s="18">
        <v>42963.16</v>
      </c>
      <c r="H206" s="18">
        <v>164598.67000000001</v>
      </c>
      <c r="I206" s="18">
        <v>102845.35</v>
      </c>
      <c r="J206" s="18">
        <v>5579.57</v>
      </c>
      <c r="K206" s="18"/>
      <c r="L206" s="19">
        <f t="shared" si="0"/>
        <v>428431.75999999995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240004.57+48662+5652.53+2300</f>
        <v>296619.10000000003</v>
      </c>
      <c r="I207" s="18"/>
      <c r="J207" s="18"/>
      <c r="K207" s="18"/>
      <c r="L207" s="19">
        <f t="shared" si="0"/>
        <v>296619.10000000003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1500</v>
      </c>
      <c r="G208" s="18">
        <f>3.54+289.52</f>
        <v>293.06</v>
      </c>
      <c r="H208" s="18">
        <f>1253+15903.52</f>
        <v>17156.52</v>
      </c>
      <c r="I208" s="18">
        <v>7066.98</v>
      </c>
      <c r="J208" s="18">
        <v>26744.34</v>
      </c>
      <c r="K208" s="18"/>
      <c r="L208" s="19">
        <f>SUM(F208:K208)</f>
        <v>52760.9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2692772</v>
      </c>
      <c r="G210" s="41">
        <f t="shared" si="1"/>
        <v>1213825.1200000001</v>
      </c>
      <c r="H210" s="41">
        <f t="shared" si="1"/>
        <v>1107701.8500000001</v>
      </c>
      <c r="I210" s="41">
        <f t="shared" si="1"/>
        <v>173476.23</v>
      </c>
      <c r="J210" s="41">
        <f t="shared" si="1"/>
        <v>42225.02</v>
      </c>
      <c r="K210" s="41">
        <f t="shared" si="1"/>
        <v>10311.68</v>
      </c>
      <c r="L210" s="41">
        <f t="shared" si="1"/>
        <v>5240311.8999999994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1540457.78</v>
      </c>
      <c r="I232" s="18"/>
      <c r="J232" s="18"/>
      <c r="K232" s="18"/>
      <c r="L232" s="19">
        <f>SUM(F232:K232)</f>
        <v>1540457.78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911812.9</v>
      </c>
      <c r="I233" s="18"/>
      <c r="J233" s="18"/>
      <c r="K233" s="18"/>
      <c r="L233" s="19">
        <f>SUM(F233:K233)</f>
        <v>911812.9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3240</v>
      </c>
      <c r="I237" s="18"/>
      <c r="J237" s="18"/>
      <c r="K237" s="18"/>
      <c r="L237" s="19">
        <f t="shared" ref="L237:L243" si="4">SUM(F237:K237)</f>
        <v>3240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79621+66499.02</f>
        <v>146120.02000000002</v>
      </c>
      <c r="I243" s="18"/>
      <c r="J243" s="18"/>
      <c r="K243" s="18"/>
      <c r="L243" s="19">
        <f t="shared" si="4"/>
        <v>146120.02000000002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2601630.7000000002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2601630.7000000002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2692772</v>
      </c>
      <c r="G256" s="41">
        <f t="shared" si="8"/>
        <v>1213825.1200000001</v>
      </c>
      <c r="H256" s="41">
        <f t="shared" si="8"/>
        <v>3709332.5500000003</v>
      </c>
      <c r="I256" s="41">
        <f t="shared" si="8"/>
        <v>173476.23</v>
      </c>
      <c r="J256" s="41">
        <f t="shared" si="8"/>
        <v>42225.02</v>
      </c>
      <c r="K256" s="41">
        <f t="shared" si="8"/>
        <v>10311.68</v>
      </c>
      <c r="L256" s="41">
        <f t="shared" si="8"/>
        <v>7841942.5999999996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8613.5300000000007</v>
      </c>
      <c r="L262" s="19">
        <f>SUM(F262:K262)</f>
        <v>8613.5300000000007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25000</v>
      </c>
      <c r="L265" s="19">
        <f t="shared" si="9"/>
        <v>25000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33613.53</v>
      </c>
      <c r="L269" s="41">
        <f t="shared" si="9"/>
        <v>33613.53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2692772</v>
      </c>
      <c r="G270" s="42">
        <f t="shared" si="11"/>
        <v>1213825.1200000001</v>
      </c>
      <c r="H270" s="42">
        <f t="shared" si="11"/>
        <v>3709332.5500000003</v>
      </c>
      <c r="I270" s="42">
        <f t="shared" si="11"/>
        <v>173476.23</v>
      </c>
      <c r="J270" s="42">
        <f t="shared" si="11"/>
        <v>42225.02</v>
      </c>
      <c r="K270" s="42">
        <f t="shared" si="11"/>
        <v>43925.21</v>
      </c>
      <c r="L270" s="42">
        <f t="shared" si="11"/>
        <v>7875556.1299999999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22357.34</v>
      </c>
      <c r="G275" s="18">
        <f>-0.01+1710.38+0.77+79.38</f>
        <v>1790.52</v>
      </c>
      <c r="H275" s="18"/>
      <c r="I275" s="18">
        <f>151.69+3634</f>
        <v>3785.69</v>
      </c>
      <c r="J275" s="18">
        <f>11935.2+6279.8</f>
        <v>18215</v>
      </c>
      <c r="K275" s="18"/>
      <c r="L275" s="19">
        <f>SUM(F275:K275)</f>
        <v>46148.55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1830</v>
      </c>
      <c r="G276" s="18">
        <f>139.99+6.41</f>
        <v>146.4</v>
      </c>
      <c r="H276" s="18">
        <v>200.44</v>
      </c>
      <c r="I276" s="18">
        <f>237.6+1295.35+439.21+1240.25</f>
        <v>3212.41</v>
      </c>
      <c r="J276" s="18">
        <v>36443</v>
      </c>
      <c r="K276" s="18"/>
      <c r="L276" s="19">
        <f>SUM(F276:K276)</f>
        <v>41832.25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1150</v>
      </c>
      <c r="G278" s="18">
        <f>87.99+87.89+4.46</f>
        <v>180.34</v>
      </c>
      <c r="H278" s="18"/>
      <c r="I278" s="18">
        <f>152.43+86.99+250</f>
        <v>489.42</v>
      </c>
      <c r="J278" s="18"/>
      <c r="K278" s="18"/>
      <c r="L278" s="19">
        <f>SUM(F278:K278)</f>
        <v>1819.76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5187.8</v>
      </c>
      <c r="I280" s="18">
        <v>40.07</v>
      </c>
      <c r="J280" s="18"/>
      <c r="K280" s="18">
        <v>284</v>
      </c>
      <c r="L280" s="19">
        <f t="shared" ref="L280:L286" si="12">SUM(F280:K280)</f>
        <v>5511.87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3210</v>
      </c>
      <c r="G281" s="18">
        <f>245.57+33.9+11.24</f>
        <v>290.70999999999998</v>
      </c>
      <c r="H281" s="18">
        <f>16472+3985+3400+17409.56+28510.04+37619</f>
        <v>107395.6</v>
      </c>
      <c r="I281" s="18">
        <f>297.21+264.19</f>
        <v>561.4</v>
      </c>
      <c r="J281" s="18"/>
      <c r="K281" s="18"/>
      <c r="L281" s="19">
        <f t="shared" si="12"/>
        <v>111457.71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v>1845</v>
      </c>
      <c r="I282" s="18"/>
      <c r="J282" s="18"/>
      <c r="K282" s="18">
        <v>7905.03</v>
      </c>
      <c r="L282" s="19">
        <f t="shared" si="12"/>
        <v>9750.0299999999988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70.25</v>
      </c>
      <c r="I287" s="18"/>
      <c r="J287" s="18"/>
      <c r="K287" s="18"/>
      <c r="L287" s="19">
        <f>SUM(F287:K287)</f>
        <v>70.25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28547.34</v>
      </c>
      <c r="G289" s="42">
        <f t="shared" si="13"/>
        <v>2407.9700000000003</v>
      </c>
      <c r="H289" s="42">
        <f t="shared" si="13"/>
        <v>114699.09000000001</v>
      </c>
      <c r="I289" s="42">
        <f t="shared" si="13"/>
        <v>8088.99</v>
      </c>
      <c r="J289" s="42">
        <f t="shared" si="13"/>
        <v>54658</v>
      </c>
      <c r="K289" s="42">
        <f t="shared" si="13"/>
        <v>8189.03</v>
      </c>
      <c r="L289" s="41">
        <f t="shared" si="13"/>
        <v>216590.42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28547.34</v>
      </c>
      <c r="G337" s="41">
        <f t="shared" si="20"/>
        <v>2407.9700000000003</v>
      </c>
      <c r="H337" s="41">
        <f t="shared" si="20"/>
        <v>114699.09000000001</v>
      </c>
      <c r="I337" s="41">
        <f t="shared" si="20"/>
        <v>8088.99</v>
      </c>
      <c r="J337" s="41">
        <f t="shared" si="20"/>
        <v>54658</v>
      </c>
      <c r="K337" s="41">
        <f t="shared" si="20"/>
        <v>8189.03</v>
      </c>
      <c r="L337" s="41">
        <f t="shared" si="20"/>
        <v>216590.42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28547.34</v>
      </c>
      <c r="G351" s="41">
        <f>G337</f>
        <v>2407.9700000000003</v>
      </c>
      <c r="H351" s="41">
        <f>H337</f>
        <v>114699.09000000001</v>
      </c>
      <c r="I351" s="41">
        <f>I337</f>
        <v>8088.99</v>
      </c>
      <c r="J351" s="41">
        <f>J337</f>
        <v>54658</v>
      </c>
      <c r="K351" s="47">
        <f>K337+K350</f>
        <v>8189.03</v>
      </c>
      <c r="L351" s="41">
        <f>L337+L350</f>
        <v>216590.42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37944.239999999998</v>
      </c>
      <c r="G357" s="18">
        <f>18201+650+68.96+80.53+2613.56+736.1</f>
        <v>22350.149999999998</v>
      </c>
      <c r="H357" s="18">
        <f>135+6000+209.81+652.14</f>
        <v>6996.9500000000007</v>
      </c>
      <c r="I357" s="18">
        <f>2893.16+43350.24</f>
        <v>46243.399999999994</v>
      </c>
      <c r="J357" s="18"/>
      <c r="K357" s="18">
        <v>1254.5</v>
      </c>
      <c r="L357" s="13">
        <f>SUM(F357:K357)</f>
        <v>114789.23999999999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37944.239999999998</v>
      </c>
      <c r="G361" s="47">
        <f t="shared" si="22"/>
        <v>22350.149999999998</v>
      </c>
      <c r="H361" s="47">
        <f t="shared" si="22"/>
        <v>6996.9500000000007</v>
      </c>
      <c r="I361" s="47">
        <f t="shared" si="22"/>
        <v>46243.399999999994</v>
      </c>
      <c r="J361" s="47">
        <f t="shared" si="22"/>
        <v>0</v>
      </c>
      <c r="K361" s="47">
        <f t="shared" si="22"/>
        <v>1254.5</v>
      </c>
      <c r="L361" s="47">
        <f t="shared" si="22"/>
        <v>114789.23999999999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43350.239999999998</v>
      </c>
      <c r="G366" s="18"/>
      <c r="H366" s="18"/>
      <c r="I366" s="56">
        <f>SUM(F366:H366)</f>
        <v>43350.239999999998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2893.16</v>
      </c>
      <c r="G367" s="63"/>
      <c r="H367" s="63"/>
      <c r="I367" s="56">
        <f>SUM(F367:H367)</f>
        <v>2893.16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46243.399999999994</v>
      </c>
      <c r="G368" s="47">
        <f>SUM(G366:G367)</f>
        <v>0</v>
      </c>
      <c r="H368" s="47">
        <f>SUM(H366:H367)</f>
        <v>0</v>
      </c>
      <c r="I368" s="47">
        <f>SUM(I366:I367)</f>
        <v>46243.399999999994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25000</v>
      </c>
      <c r="H388" s="18">
        <v>1709.57</v>
      </c>
      <c r="I388" s="18"/>
      <c r="J388" s="24" t="s">
        <v>289</v>
      </c>
      <c r="K388" s="24" t="s">
        <v>289</v>
      </c>
      <c r="L388" s="56">
        <f t="shared" si="25"/>
        <v>26709.57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25000</v>
      </c>
      <c r="H392" s="139">
        <f>SUM(H386:H391)</f>
        <v>1709.57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26709.57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2590.11</v>
      </c>
      <c r="I397" s="18"/>
      <c r="J397" s="24" t="s">
        <v>289</v>
      </c>
      <c r="K397" s="24" t="s">
        <v>289</v>
      </c>
      <c r="L397" s="56">
        <f t="shared" si="26"/>
        <v>2590.11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2590.11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2590.11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25000</v>
      </c>
      <c r="H407" s="47">
        <f>H392+H400+H406</f>
        <v>4299.68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29299.68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257188.42</v>
      </c>
      <c r="G439" s="18">
        <v>150664.49</v>
      </c>
      <c r="H439" s="18"/>
      <c r="I439" s="56">
        <f t="shared" si="33"/>
        <v>407852.91000000003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257188.42</v>
      </c>
      <c r="G445" s="13">
        <f>SUM(G438:G444)</f>
        <v>150664.49</v>
      </c>
      <c r="H445" s="13">
        <f>SUM(H438:H444)</f>
        <v>0</v>
      </c>
      <c r="I445" s="13">
        <f>SUM(I438:I444)</f>
        <v>407852.91000000003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230478.85+25000+1709.57</f>
        <v>257188.42</v>
      </c>
      <c r="G458" s="18">
        <f>148074.38+2590.11</f>
        <v>150664.49</v>
      </c>
      <c r="H458" s="18"/>
      <c r="I458" s="56">
        <f t="shared" si="34"/>
        <v>407852.91000000003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257188.42</v>
      </c>
      <c r="G459" s="83">
        <f>SUM(G453:G458)</f>
        <v>150664.49</v>
      </c>
      <c r="H459" s="83">
        <f>SUM(H453:H458)</f>
        <v>0</v>
      </c>
      <c r="I459" s="83">
        <f>SUM(I453:I458)</f>
        <v>407852.91000000003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257188.42</v>
      </c>
      <c r="G460" s="42">
        <f>G451+G459</f>
        <v>150664.49</v>
      </c>
      <c r="H460" s="42">
        <f>H451+H459</f>
        <v>0</v>
      </c>
      <c r="I460" s="42">
        <f>I451+I459</f>
        <v>407852.91000000003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520338.76</v>
      </c>
      <c r="G464" s="18"/>
      <c r="H464" s="18"/>
      <c r="I464" s="18"/>
      <c r="J464" s="18">
        <v>378553.23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7681216.1500000004</v>
      </c>
      <c r="G467" s="18">
        <v>114789.24</v>
      </c>
      <c r="H467" s="18">
        <f>216005.98+584.44</f>
        <v>216590.42</v>
      </c>
      <c r="I467" s="18"/>
      <c r="J467" s="18">
        <f>2590.11+25000+1709.57</f>
        <v>29299.68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7681216.1500000004</v>
      </c>
      <c r="G469" s="53">
        <f>SUM(G467:G468)</f>
        <v>114789.24</v>
      </c>
      <c r="H469" s="53">
        <f>SUM(H467:H468)</f>
        <v>216590.42</v>
      </c>
      <c r="I469" s="53">
        <f>SUM(I467:I468)</f>
        <v>0</v>
      </c>
      <c r="J469" s="53">
        <f>SUM(J467:J468)</f>
        <v>29299.68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7875556.1299999999</v>
      </c>
      <c r="G471" s="18">
        <v>114789.24</v>
      </c>
      <c r="H471" s="18">
        <f>216005.98+584.44</f>
        <v>216590.42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7875556.1299999999</v>
      </c>
      <c r="G473" s="53">
        <f>SUM(G471:G472)</f>
        <v>114789.24</v>
      </c>
      <c r="H473" s="53">
        <f>SUM(H471:H472)</f>
        <v>216590.42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325998.78000000026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407852.91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209869.76+358163.54+1830</f>
        <v>569863.30000000005</v>
      </c>
      <c r="G520" s="18">
        <f>303734.7+13553.93+1436.68+2177.18+39703.17+23432.76+2016.27+139.99+6.41</f>
        <v>386201.08999999997</v>
      </c>
      <c r="H520" s="18">
        <f>155+43519.96+23046.72+46.07+200.44</f>
        <v>66968.19</v>
      </c>
      <c r="I520" s="18">
        <f>958.13+2581.46+237.6+1295.35</f>
        <v>5072.54</v>
      </c>
      <c r="J520" s="18">
        <f>225.33+36443</f>
        <v>36668.33</v>
      </c>
      <c r="K520" s="18"/>
      <c r="L520" s="88">
        <f>SUM(F520:K520)</f>
        <v>1064773.4500000002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569863.30000000005</v>
      </c>
      <c r="G523" s="108">
        <f t="shared" ref="G523:L523" si="36">SUM(G520:G522)</f>
        <v>386201.08999999997</v>
      </c>
      <c r="H523" s="108">
        <f t="shared" si="36"/>
        <v>66968.19</v>
      </c>
      <c r="I523" s="108">
        <f t="shared" si="36"/>
        <v>5072.54</v>
      </c>
      <c r="J523" s="108">
        <f t="shared" si="36"/>
        <v>36668.33</v>
      </c>
      <c r="K523" s="108">
        <f t="shared" si="36"/>
        <v>0</v>
      </c>
      <c r="L523" s="89">
        <f t="shared" si="36"/>
        <v>1064773.4500000002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59008.04+56650.1+61161.1</f>
        <v>176819.24</v>
      </c>
      <c r="G525" s="18">
        <f>13023+700+82.08+230.1+4323.48+6667.96+206.44+17580+700+82.08+221+4020.08+6401.46+198.38+7124+542+82.08+238.42+4591.51+6911.32+213.98</f>
        <v>74139.369999999981</v>
      </c>
      <c r="H525" s="18">
        <f>5763.83+7420+6837.2+50+509.17+45919.6+37619+6378.75</f>
        <v>110497.54999999999</v>
      </c>
      <c r="I525" s="18">
        <f>709.46+678.8+441.29+952.55+482.45</f>
        <v>3264.5499999999997</v>
      </c>
      <c r="J525" s="18">
        <f>199.84+1837.36+369.18</f>
        <v>2406.3799999999997</v>
      </c>
      <c r="K525" s="18"/>
      <c r="L525" s="88">
        <f>SUM(F525:K525)</f>
        <v>367127.08999999997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176819.24</v>
      </c>
      <c r="G528" s="89">
        <f t="shared" ref="G528:L528" si="37">SUM(G525:G527)</f>
        <v>74139.369999999981</v>
      </c>
      <c r="H528" s="89">
        <f t="shared" si="37"/>
        <v>110497.54999999999</v>
      </c>
      <c r="I528" s="89">
        <f t="shared" si="37"/>
        <v>3264.5499999999997</v>
      </c>
      <c r="J528" s="89">
        <f t="shared" si="37"/>
        <v>2406.3799999999997</v>
      </c>
      <c r="K528" s="89">
        <f t="shared" si="37"/>
        <v>0</v>
      </c>
      <c r="L528" s="89">
        <f t="shared" si="37"/>
        <v>367127.08999999997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42027</v>
      </c>
      <c r="I530" s="18"/>
      <c r="J530" s="18"/>
      <c r="K530" s="18">
        <v>4083.06</v>
      </c>
      <c r="L530" s="88">
        <f>SUM(F530:K530)</f>
        <v>46110.06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42027</v>
      </c>
      <c r="I533" s="89">
        <f t="shared" si="38"/>
        <v>0</v>
      </c>
      <c r="J533" s="89">
        <f t="shared" si="38"/>
        <v>0</v>
      </c>
      <c r="K533" s="89">
        <f t="shared" si="38"/>
        <v>4083.06</v>
      </c>
      <c r="L533" s="89">
        <f t="shared" si="38"/>
        <v>46110.06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48662</v>
      </c>
      <c r="I540" s="18"/>
      <c r="J540" s="18"/>
      <c r="K540" s="18"/>
      <c r="L540" s="88">
        <f>SUM(F540:K540)</f>
        <v>48662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48662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48662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746682.54</v>
      </c>
      <c r="G544" s="89">
        <f t="shared" ref="G544:L544" si="41">G523+G528+G533+G538+G543</f>
        <v>460340.45999999996</v>
      </c>
      <c r="H544" s="89">
        <f t="shared" si="41"/>
        <v>268154.74</v>
      </c>
      <c r="I544" s="89">
        <f t="shared" si="41"/>
        <v>8337.09</v>
      </c>
      <c r="J544" s="89">
        <f t="shared" si="41"/>
        <v>39074.71</v>
      </c>
      <c r="K544" s="89">
        <f t="shared" si="41"/>
        <v>4083.06</v>
      </c>
      <c r="L544" s="89">
        <f t="shared" si="41"/>
        <v>1526672.6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1064773.4500000002</v>
      </c>
      <c r="G548" s="87">
        <f>L525</f>
        <v>367127.08999999997</v>
      </c>
      <c r="H548" s="87">
        <f>L530</f>
        <v>46110.06</v>
      </c>
      <c r="I548" s="87">
        <f>L535</f>
        <v>0</v>
      </c>
      <c r="J548" s="87">
        <f>L540</f>
        <v>48662</v>
      </c>
      <c r="K548" s="87">
        <f>SUM(F548:J548)</f>
        <v>1526672.6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1064773.4500000002</v>
      </c>
      <c r="G551" s="89">
        <f t="shared" si="42"/>
        <v>367127.08999999997</v>
      </c>
      <c r="H551" s="89">
        <f t="shared" si="42"/>
        <v>46110.06</v>
      </c>
      <c r="I551" s="89">
        <f t="shared" si="42"/>
        <v>0</v>
      </c>
      <c r="J551" s="89">
        <f t="shared" si="42"/>
        <v>48662</v>
      </c>
      <c r="K551" s="89">
        <f t="shared" si="42"/>
        <v>1526672.6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1540457.78</v>
      </c>
      <c r="I574" s="87">
        <f>SUM(F574:H574)</f>
        <v>1540457.78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29278.85</v>
      </c>
      <c r="G578" s="18"/>
      <c r="H578" s="18">
        <v>558630.41</v>
      </c>
      <c r="I578" s="87">
        <f t="shared" si="47"/>
        <v>587909.26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43519.96</v>
      </c>
      <c r="G579" s="18"/>
      <c r="H579" s="18">
        <v>45630</v>
      </c>
      <c r="I579" s="87">
        <f t="shared" si="47"/>
        <v>89149.959999999992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23046.720000000001</v>
      </c>
      <c r="G581" s="18"/>
      <c r="H581" s="18">
        <v>307552.49</v>
      </c>
      <c r="I581" s="87">
        <f t="shared" si="47"/>
        <v>330599.20999999996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240004.57</v>
      </c>
      <c r="I590" s="18"/>
      <c r="J590" s="18">
        <v>79621</v>
      </c>
      <c r="K590" s="104">
        <f t="shared" ref="K590:K596" si="48">SUM(H590:J590)</f>
        <v>319625.57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48662</v>
      </c>
      <c r="I591" s="18"/>
      <c r="J591" s="18">
        <v>66499.02</v>
      </c>
      <c r="K591" s="104">
        <f t="shared" si="48"/>
        <v>115161.02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5652.53</v>
      </c>
      <c r="I593" s="18"/>
      <c r="J593" s="18"/>
      <c r="K593" s="104">
        <f t="shared" si="48"/>
        <v>5652.53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2300</v>
      </c>
      <c r="I594" s="18"/>
      <c r="J594" s="18"/>
      <c r="K594" s="104">
        <f t="shared" si="48"/>
        <v>2300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296619.10000000003</v>
      </c>
      <c r="I597" s="108">
        <f>SUM(I590:I596)</f>
        <v>0</v>
      </c>
      <c r="J597" s="108">
        <f>SUM(J590:J596)</f>
        <v>146120.02000000002</v>
      </c>
      <c r="K597" s="108">
        <f>SUM(K590:K596)</f>
        <v>442739.12000000005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96883.02</v>
      </c>
      <c r="I603" s="18"/>
      <c r="J603" s="18"/>
      <c r="K603" s="104">
        <f>SUM(H603:J603)</f>
        <v>96883.02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96883.02</v>
      </c>
      <c r="I604" s="108">
        <f>SUM(I601:I603)</f>
        <v>0</v>
      </c>
      <c r="J604" s="108">
        <f>SUM(J601:J603)</f>
        <v>0</v>
      </c>
      <c r="K604" s="108">
        <f>SUM(K601:K603)</f>
        <v>96883.02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13855.07+1150</f>
        <v>15005.07</v>
      </c>
      <c r="G610" s="18">
        <f>1059.97+146.53+48.55+87.99+87.89+4.46</f>
        <v>1435.39</v>
      </c>
      <c r="H610" s="18"/>
      <c r="I610" s="18">
        <f>251.11+152.43+86.99</f>
        <v>490.53000000000003</v>
      </c>
      <c r="J610" s="18"/>
      <c r="K610" s="18"/>
      <c r="L610" s="88">
        <f>SUM(F610:K610)</f>
        <v>16930.989999999998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15005.07</v>
      </c>
      <c r="G613" s="108">
        <f t="shared" si="49"/>
        <v>1435.39</v>
      </c>
      <c r="H613" s="108">
        <f t="shared" si="49"/>
        <v>0</v>
      </c>
      <c r="I613" s="108">
        <f t="shared" si="49"/>
        <v>490.53000000000003</v>
      </c>
      <c r="J613" s="108">
        <f t="shared" si="49"/>
        <v>0</v>
      </c>
      <c r="K613" s="108">
        <f t="shared" si="49"/>
        <v>0</v>
      </c>
      <c r="L613" s="89">
        <f t="shared" si="49"/>
        <v>16930.989999999998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371132.85</v>
      </c>
      <c r="H616" s="109">
        <f>SUM(F51)</f>
        <v>371132.85000000003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3096.71</v>
      </c>
      <c r="H617" s="109">
        <f>SUM(G51)</f>
        <v>3096.71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103828.08</v>
      </c>
      <c r="H618" s="109">
        <f>SUM(H51)</f>
        <v>103828.08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34168.5</v>
      </c>
      <c r="H619" s="109">
        <f>SUM(I51)</f>
        <v>34168.5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407852.91000000003</v>
      </c>
      <c r="H620" s="109">
        <f>SUM(J51)</f>
        <v>407852.91000000003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325998.78000000003</v>
      </c>
      <c r="H621" s="109">
        <f>F475</f>
        <v>325998.78000000026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407852.91000000003</v>
      </c>
      <c r="H625" s="109">
        <f>J475</f>
        <v>407852.91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7681216.1500000004</v>
      </c>
      <c r="H626" s="104">
        <f>SUM(F467)</f>
        <v>7681216.1500000004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114789.24</v>
      </c>
      <c r="H627" s="104">
        <f>SUM(G467)</f>
        <v>114789.24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216590.41999999998</v>
      </c>
      <c r="H628" s="104">
        <f>SUM(H467)</f>
        <v>216590.42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29299.68</v>
      </c>
      <c r="H630" s="104">
        <f>SUM(J467)</f>
        <v>29299.68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7875556.1299999999</v>
      </c>
      <c r="H631" s="104">
        <f>SUM(F471)</f>
        <v>7875556.1299999999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216590.42</v>
      </c>
      <c r="H632" s="104">
        <f>SUM(H471)</f>
        <v>216590.42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46243.399999999994</v>
      </c>
      <c r="H633" s="104">
        <f>I368</f>
        <v>46243.399999999994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114789.23999999999</v>
      </c>
      <c r="H634" s="104">
        <f>SUM(G471)</f>
        <v>114789.24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29299.68</v>
      </c>
      <c r="H636" s="164">
        <f>SUM(J467)</f>
        <v>29299.68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257188.42</v>
      </c>
      <c r="H638" s="104">
        <f>SUM(F460)</f>
        <v>257188.42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150664.49</v>
      </c>
      <c r="H639" s="104">
        <f>SUM(G460)</f>
        <v>150664.49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407852.91000000003</v>
      </c>
      <c r="H641" s="104">
        <f>SUM(I460)</f>
        <v>407852.91000000003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4299.68</v>
      </c>
      <c r="H643" s="104">
        <f>H407</f>
        <v>4299.68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25000</v>
      </c>
      <c r="H644" s="104">
        <f>G407</f>
        <v>25000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29299.68</v>
      </c>
      <c r="H645" s="104">
        <f>L407</f>
        <v>29299.68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442739.12000000005</v>
      </c>
      <c r="H646" s="104">
        <f>L207+L225+L243</f>
        <v>442739.12000000005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96883.02</v>
      </c>
      <c r="H647" s="104">
        <f>(J256+J337)-(J254+J335)</f>
        <v>96883.01999999999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296619.10000000003</v>
      </c>
      <c r="H648" s="104">
        <f>H597</f>
        <v>296619.10000000003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146120.02000000002</v>
      </c>
      <c r="H650" s="104">
        <f>J597</f>
        <v>146120.02000000002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8613.5300000000007</v>
      </c>
      <c r="H651" s="104">
        <f>K262+K344</f>
        <v>8613.5300000000007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25000</v>
      </c>
      <c r="H654" s="104">
        <f>K265+K346</f>
        <v>25000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5571691.5599999996</v>
      </c>
      <c r="G659" s="19">
        <f>(L228+L308+L358)</f>
        <v>0</v>
      </c>
      <c r="H659" s="19">
        <f>(L246+L327+L359)</f>
        <v>2601630.7000000002</v>
      </c>
      <c r="I659" s="19">
        <f>SUM(F659:H659)</f>
        <v>8173322.2599999998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72200.05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72200.05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296619.10000000003</v>
      </c>
      <c r="G661" s="19">
        <f>(L225+L305)-(J225+J305)</f>
        <v>0</v>
      </c>
      <c r="H661" s="19">
        <f>(L243+L324)-(J243+J324)</f>
        <v>146120.02000000002</v>
      </c>
      <c r="I661" s="19">
        <f>SUM(F661:H661)</f>
        <v>442739.12000000005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209659.53999999998</v>
      </c>
      <c r="G662" s="200">
        <f>SUM(G574:G586)+SUM(I601:I603)+L611</f>
        <v>0</v>
      </c>
      <c r="H662" s="200">
        <f>SUM(H574:H586)+SUM(J601:J603)+L612</f>
        <v>2452270.6799999997</v>
      </c>
      <c r="I662" s="19">
        <f>SUM(F662:H662)</f>
        <v>2661930.2199999997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4993212.8699999992</v>
      </c>
      <c r="G663" s="19">
        <f>G659-SUM(G660:G662)</f>
        <v>0</v>
      </c>
      <c r="H663" s="19">
        <f>H659-SUM(H660:H662)</f>
        <v>3240.0000000004657</v>
      </c>
      <c r="I663" s="19">
        <f>I659-SUM(I660:I662)</f>
        <v>4996452.87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291.60000000000002</v>
      </c>
      <c r="G664" s="249"/>
      <c r="H664" s="249"/>
      <c r="I664" s="19">
        <f>SUM(F664:H664)</f>
        <v>291.60000000000002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17123.5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17134.61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-3240</v>
      </c>
      <c r="I668" s="19">
        <f>SUM(F668:H668)</f>
        <v>-3240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17123.5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17123.5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39" sqref="C39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Chesterfield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1438897.29</v>
      </c>
      <c r="C9" s="230">
        <f>'DOE25'!G196+'DOE25'!G214+'DOE25'!G232+'DOE25'!G275+'DOE25'!G294+'DOE25'!G313</f>
        <v>544534.79</v>
      </c>
    </row>
    <row r="10" spans="1:3">
      <c r="A10" t="s">
        <v>779</v>
      </c>
      <c r="B10" s="241">
        <v>1416539.95</v>
      </c>
      <c r="C10" s="241">
        <v>536073.9</v>
      </c>
    </row>
    <row r="11" spans="1:3">
      <c r="A11" t="s">
        <v>780</v>
      </c>
      <c r="B11" s="241">
        <v>22357.34</v>
      </c>
      <c r="C11" s="241">
        <v>8460.89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1438897.29</v>
      </c>
      <c r="C13" s="232">
        <f>SUM(C10:C12)</f>
        <v>544534.79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569863.30000000005</v>
      </c>
      <c r="C18" s="230">
        <f>'DOE25'!G197+'DOE25'!G215+'DOE25'!G233+'DOE25'!G276+'DOE25'!G295+'DOE25'!G314</f>
        <v>386201.09</v>
      </c>
    </row>
    <row r="19" spans="1:3">
      <c r="A19" t="s">
        <v>779</v>
      </c>
      <c r="B19" s="241">
        <v>209869.76</v>
      </c>
      <c r="C19" s="241">
        <v>142230.48000000001</v>
      </c>
    </row>
    <row r="20" spans="1:3">
      <c r="A20" t="s">
        <v>780</v>
      </c>
      <c r="B20" s="241">
        <v>359993.54</v>
      </c>
      <c r="C20" s="241">
        <v>243970.61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569863.30000000005</v>
      </c>
      <c r="C22" s="232">
        <f>SUM(C19:C21)</f>
        <v>386201.08999999997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27705.07</v>
      </c>
      <c r="C36" s="236">
        <f>'DOE25'!G199+'DOE25'!G217+'DOE25'!G235+'DOE25'!G278+'DOE25'!G297+'DOE25'!G316</f>
        <v>3006.2700000000004</v>
      </c>
    </row>
    <row r="37" spans="1:3">
      <c r="A37" t="s">
        <v>779</v>
      </c>
      <c r="B37" s="241">
        <v>11325</v>
      </c>
      <c r="C37" s="241">
        <v>1228.8699999999999</v>
      </c>
    </row>
    <row r="38" spans="1:3">
      <c r="A38" t="s">
        <v>780</v>
      </c>
      <c r="B38" s="241">
        <v>16380.07</v>
      </c>
      <c r="C38" s="241">
        <v>1777.4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27705.07</v>
      </c>
      <c r="C40" s="232">
        <f>SUM(C37:C39)</f>
        <v>3006.27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56" sqref="E56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Chesterfield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5559855.9900000002</v>
      </c>
      <c r="D5" s="20">
        <f>SUM('DOE25'!L196:L199)+SUM('DOE25'!L214:L217)+SUM('DOE25'!L232:L235)-F5-G5</f>
        <v>5548091.6699999999</v>
      </c>
      <c r="E5" s="244"/>
      <c r="F5" s="256">
        <f>SUM('DOE25'!J196:J199)+SUM('DOE25'!J214:J217)+SUM('DOE25'!J232:J235)</f>
        <v>7048.73</v>
      </c>
      <c r="G5" s="53">
        <f>SUM('DOE25'!K196:K199)+SUM('DOE25'!K214:K217)+SUM('DOE25'!K232:K235)</f>
        <v>4715.59</v>
      </c>
      <c r="H5" s="260"/>
    </row>
    <row r="6" spans="1:9">
      <c r="A6" s="32">
        <v>2100</v>
      </c>
      <c r="B6" t="s">
        <v>801</v>
      </c>
      <c r="C6" s="246">
        <f t="shared" si="0"/>
        <v>427627.42000000004</v>
      </c>
      <c r="D6" s="20">
        <f>'DOE25'!L201+'DOE25'!L219+'DOE25'!L237-F6-G6</f>
        <v>424996.04000000004</v>
      </c>
      <c r="E6" s="244"/>
      <c r="F6" s="256">
        <f>'DOE25'!J201+'DOE25'!J219+'DOE25'!J237</f>
        <v>2631.3799999999997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156412.55000000002</v>
      </c>
      <c r="D7" s="20">
        <f>'DOE25'!L202+'DOE25'!L220+'DOE25'!L238-F7-G7</f>
        <v>155880.55000000002</v>
      </c>
      <c r="E7" s="244"/>
      <c r="F7" s="256">
        <f>'DOE25'!J202+'DOE25'!J220+'DOE25'!J238</f>
        <v>221</v>
      </c>
      <c r="G7" s="53">
        <f>'DOE25'!K202+'DOE25'!K220+'DOE25'!K238</f>
        <v>311</v>
      </c>
      <c r="H7" s="260"/>
    </row>
    <row r="8" spans="1:9">
      <c r="A8" s="32">
        <v>2300</v>
      </c>
      <c r="B8" t="s">
        <v>802</v>
      </c>
      <c r="C8" s="246">
        <f t="shared" si="0"/>
        <v>328941.98</v>
      </c>
      <c r="D8" s="244"/>
      <c r="E8" s="20">
        <f>'DOE25'!L203+'DOE25'!L221+'DOE25'!L239-F8-G8-D9-D11</f>
        <v>325175.88999999996</v>
      </c>
      <c r="F8" s="256">
        <f>'DOE25'!J203+'DOE25'!J221+'DOE25'!J239</f>
        <v>0</v>
      </c>
      <c r="G8" s="53">
        <f>'DOE25'!K203+'DOE25'!K221+'DOE25'!K239</f>
        <v>3766.09</v>
      </c>
      <c r="H8" s="260"/>
    </row>
    <row r="9" spans="1:9">
      <c r="A9" s="32">
        <v>2310</v>
      </c>
      <c r="B9" t="s">
        <v>818</v>
      </c>
      <c r="C9" s="246">
        <f t="shared" si="0"/>
        <v>11365.27</v>
      </c>
      <c r="D9" s="245">
        <v>11365.27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7875</v>
      </c>
      <c r="D10" s="244"/>
      <c r="E10" s="245">
        <v>7875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124151</v>
      </c>
      <c r="D11" s="245">
        <v>124151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309656.61000000004</v>
      </c>
      <c r="D12" s="20">
        <f>'DOE25'!L204+'DOE25'!L222+'DOE25'!L240-F12-G12</f>
        <v>308137.61000000004</v>
      </c>
      <c r="E12" s="244"/>
      <c r="F12" s="256">
        <f>'DOE25'!J204+'DOE25'!J222+'DOE25'!J240</f>
        <v>0</v>
      </c>
      <c r="G12" s="53">
        <f>'DOE25'!K204+'DOE25'!K222+'DOE25'!K240</f>
        <v>1519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428431.75999999995</v>
      </c>
      <c r="D14" s="20">
        <f>'DOE25'!L206+'DOE25'!L224+'DOE25'!L242-F14-G14</f>
        <v>422852.18999999994</v>
      </c>
      <c r="E14" s="244"/>
      <c r="F14" s="256">
        <f>'DOE25'!J206+'DOE25'!J224+'DOE25'!J242</f>
        <v>5579.57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442739.12000000005</v>
      </c>
      <c r="D15" s="20">
        <f>'DOE25'!L207+'DOE25'!L225+'DOE25'!L243-F15-G15</f>
        <v>442739.12000000005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52760.9</v>
      </c>
      <c r="D16" s="244"/>
      <c r="E16" s="20">
        <f>'DOE25'!L208+'DOE25'!L226+'DOE25'!L244-F16-G16</f>
        <v>26016.560000000001</v>
      </c>
      <c r="F16" s="256">
        <f>'DOE25'!J208+'DOE25'!J226+'DOE25'!J244</f>
        <v>26744.34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71439</v>
      </c>
      <c r="D29" s="20">
        <f>'DOE25'!L357+'DOE25'!L358+'DOE25'!L359-'DOE25'!I366-F29-G29</f>
        <v>70184.5</v>
      </c>
      <c r="E29" s="244"/>
      <c r="F29" s="256">
        <f>'DOE25'!J357+'DOE25'!J358+'DOE25'!J359</f>
        <v>0</v>
      </c>
      <c r="G29" s="53">
        <f>'DOE25'!K357+'DOE25'!K358+'DOE25'!K359</f>
        <v>1254.5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216590.42</v>
      </c>
      <c r="D31" s="20">
        <f>'DOE25'!L289+'DOE25'!L308+'DOE25'!L327+'DOE25'!L332+'DOE25'!L333+'DOE25'!L334-F31-G31</f>
        <v>153743.39000000001</v>
      </c>
      <c r="E31" s="244"/>
      <c r="F31" s="256">
        <f>'DOE25'!J289+'DOE25'!J308+'DOE25'!J327+'DOE25'!J332+'DOE25'!J333+'DOE25'!J334</f>
        <v>54658</v>
      </c>
      <c r="G31" s="53">
        <f>'DOE25'!K289+'DOE25'!K308+'DOE25'!K327+'DOE25'!K332+'DOE25'!K333+'DOE25'!K334</f>
        <v>8189.03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7662141.3399999999</v>
      </c>
      <c r="E33" s="247">
        <f>SUM(E5:E31)</f>
        <v>359067.44999999995</v>
      </c>
      <c r="F33" s="247">
        <f>SUM(F5:F31)</f>
        <v>96883.01999999999</v>
      </c>
      <c r="G33" s="247">
        <f>SUM(G5:G31)</f>
        <v>19755.21</v>
      </c>
      <c r="H33" s="247">
        <f>SUM(H5:H31)</f>
        <v>0</v>
      </c>
    </row>
    <row r="35" spans="2:8" ht="12" thickBot="1">
      <c r="B35" s="254" t="s">
        <v>847</v>
      </c>
      <c r="D35" s="255">
        <f>E33</f>
        <v>359067.44999999995</v>
      </c>
      <c r="E35" s="250"/>
    </row>
    <row r="36" spans="2:8" ht="12" thickTop="1">
      <c r="B36" t="s">
        <v>815</v>
      </c>
      <c r="D36" s="20">
        <f>D33</f>
        <v>7662141.3399999999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0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Chesterfield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109645.52</v>
      </c>
      <c r="D8" s="95">
        <f>'DOE25'!G9</f>
        <v>2374.81</v>
      </c>
      <c r="E8" s="95">
        <f>'DOE25'!H9</f>
        <v>165.56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89249.23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407852.91000000003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99658.45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71980.649999999994</v>
      </c>
      <c r="D12" s="95">
        <f>'DOE25'!G13</f>
        <v>0</v>
      </c>
      <c r="E12" s="95">
        <f>'DOE25'!H13</f>
        <v>103662.52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721.9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599</v>
      </c>
      <c r="D16" s="95">
        <f>'DOE25'!G17</f>
        <v>0</v>
      </c>
      <c r="E16" s="95">
        <f>'DOE25'!H17</f>
        <v>0</v>
      </c>
      <c r="F16" s="95">
        <f>'DOE25'!I17</f>
        <v>34168.5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371132.85</v>
      </c>
      <c r="D18" s="41">
        <f>SUM(D8:D17)</f>
        <v>3096.71</v>
      </c>
      <c r="E18" s="41">
        <f>SUM(E8:E17)</f>
        <v>103828.08</v>
      </c>
      <c r="F18" s="41">
        <f>SUM(F8:F17)</f>
        <v>34168.5</v>
      </c>
      <c r="G18" s="41">
        <f>SUM(G8:G17)</f>
        <v>407852.91000000003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65489.95</v>
      </c>
      <c r="F21" s="95">
        <f>'DOE25'!I22</f>
        <v>34168.5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27844.2</v>
      </c>
      <c r="D23" s="95">
        <f>'DOE25'!G24</f>
        <v>0</v>
      </c>
      <c r="E23" s="95">
        <f>'DOE25'!H24</f>
        <v>37561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17289.87</v>
      </c>
      <c r="D27" s="95">
        <f>'DOE25'!G28</f>
        <v>739.89</v>
      </c>
      <c r="E27" s="95">
        <f>'DOE25'!H28</f>
        <v>578.55999999999995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2356.8200000000002</v>
      </c>
      <c r="E29" s="95">
        <f>'DOE25'!H30</f>
        <v>198.57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45134.07</v>
      </c>
      <c r="D31" s="41">
        <f>SUM(D21:D30)</f>
        <v>3096.71</v>
      </c>
      <c r="E31" s="41">
        <f>SUM(E21:E30)</f>
        <v>103828.08</v>
      </c>
      <c r="F31" s="41">
        <f>SUM(F21:F30)</f>
        <v>34168.5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599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407852.91000000003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7984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242415.78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325998.78000000003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407852.91000000003</v>
      </c>
      <c r="H49" s="124"/>
      <c r="I49" s="124"/>
    </row>
    <row r="50" spans="1:9" ht="12" thickTop="1">
      <c r="A50" s="38" t="s">
        <v>895</v>
      </c>
      <c r="B50" s="2"/>
      <c r="C50" s="41">
        <f>C49+C31</f>
        <v>371132.85000000003</v>
      </c>
      <c r="D50" s="41">
        <f>D49+D31</f>
        <v>3096.71</v>
      </c>
      <c r="E50" s="41">
        <f>E49+E31</f>
        <v>103828.08</v>
      </c>
      <c r="F50" s="41">
        <f>F49+F31</f>
        <v>34168.5</v>
      </c>
      <c r="G50" s="41">
        <f>G49+G31</f>
        <v>407852.91000000003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4710580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100567.78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1459.83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4299.68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72200.05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71405.010000000009</v>
      </c>
      <c r="D60" s="95">
        <f>SUM('DOE25'!G97:G109)</f>
        <v>0</v>
      </c>
      <c r="E60" s="95">
        <f>SUM('DOE25'!H97:H109)</f>
        <v>584.44000000000005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173432.62</v>
      </c>
      <c r="D61" s="130">
        <f>SUM(D56:D60)</f>
        <v>72200.05</v>
      </c>
      <c r="E61" s="130">
        <f>SUM(E56:E60)</f>
        <v>584.44000000000005</v>
      </c>
      <c r="F61" s="130">
        <f>SUM(F56:F60)</f>
        <v>0</v>
      </c>
      <c r="G61" s="130">
        <f>SUM(G56:G60)</f>
        <v>4299.68</v>
      </c>
      <c r="H61"/>
      <c r="I61"/>
    </row>
    <row r="62" spans="1:9" ht="12" thickTop="1">
      <c r="A62" s="29" t="s">
        <v>175</v>
      </c>
      <c r="B62" s="6"/>
      <c r="C62" s="22">
        <f>C55+C61</f>
        <v>4884012.62</v>
      </c>
      <c r="D62" s="22">
        <f>D55+D61</f>
        <v>72200.05</v>
      </c>
      <c r="E62" s="22">
        <f>E55+E61</f>
        <v>584.44000000000005</v>
      </c>
      <c r="F62" s="22">
        <f>F55+F61</f>
        <v>0</v>
      </c>
      <c r="G62" s="22">
        <f>G55+G61</f>
        <v>4299.68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1142063.48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1237720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989.52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4385.3100000000004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2385158.31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223345.57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1441.82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223345.57</v>
      </c>
      <c r="D77" s="130">
        <f>SUM(D71:D76)</f>
        <v>1441.82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2608503.88</v>
      </c>
      <c r="D80" s="130">
        <f>SUM(D78:D79)+D77+D69</f>
        <v>1441.82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23418.76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151800.65</v>
      </c>
      <c r="D87" s="95">
        <f>SUM('DOE25'!G152:G160)</f>
        <v>32533.84</v>
      </c>
      <c r="E87" s="95">
        <f>SUM('DOE25'!H152:H160)</f>
        <v>192587.22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151800.65</v>
      </c>
      <c r="D90" s="131">
        <f>SUM(D84:D89)</f>
        <v>32533.84</v>
      </c>
      <c r="E90" s="131">
        <f>SUM(E84:E89)</f>
        <v>216005.98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8613.5300000000007</v>
      </c>
      <c r="E95" s="95">
        <f>'DOE25'!H178</f>
        <v>0</v>
      </c>
      <c r="F95" s="95">
        <f>'DOE25'!I178</f>
        <v>0</v>
      </c>
      <c r="G95" s="95">
        <f>'DOE25'!J178</f>
        <v>25000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36899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36899</v>
      </c>
      <c r="D102" s="86">
        <f>SUM(D92:D101)</f>
        <v>8613.5300000000007</v>
      </c>
      <c r="E102" s="86">
        <f>SUM(E92:E101)</f>
        <v>0</v>
      </c>
      <c r="F102" s="86">
        <f>SUM(F92:F101)</f>
        <v>0</v>
      </c>
      <c r="G102" s="86">
        <f>SUM(G92:G101)</f>
        <v>25000</v>
      </c>
    </row>
    <row r="103" spans="1:7" ht="12.75" thickTop="1" thickBot="1">
      <c r="A103" s="33" t="s">
        <v>765</v>
      </c>
      <c r="C103" s="86">
        <f>C62+C80+C90+C102</f>
        <v>7681216.1500000004</v>
      </c>
      <c r="D103" s="86">
        <f>D62+D80+D90+D102</f>
        <v>114789.24</v>
      </c>
      <c r="E103" s="86">
        <f>E62+E80+E90+E102</f>
        <v>216590.42</v>
      </c>
      <c r="F103" s="86">
        <f>F62+F80+F90+F102</f>
        <v>0</v>
      </c>
      <c r="G103" s="86">
        <f>G62+G80+G102</f>
        <v>29299.68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3545007.8</v>
      </c>
      <c r="D108" s="24" t="s">
        <v>289</v>
      </c>
      <c r="E108" s="95">
        <f>('DOE25'!L275)+('DOE25'!L294)+('DOE25'!L313)</f>
        <v>46148.55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1965712.4100000001</v>
      </c>
      <c r="D109" s="24" t="s">
        <v>289</v>
      </c>
      <c r="E109" s="95">
        <f>('DOE25'!L276)+('DOE25'!L295)+('DOE25'!L314)</f>
        <v>41832.25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49135.780000000013</v>
      </c>
      <c r="D111" s="24" t="s">
        <v>289</v>
      </c>
      <c r="E111" s="95">
        <f>+('DOE25'!L278)+('DOE25'!L297)+('DOE25'!L316)</f>
        <v>1819.76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5559855.9900000002</v>
      </c>
      <c r="D114" s="86">
        <f>SUM(D108:D113)</f>
        <v>0</v>
      </c>
      <c r="E114" s="86">
        <f>SUM(E108:E113)</f>
        <v>89800.56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427627.42000000004</v>
      </c>
      <c r="D117" s="24" t="s">
        <v>289</v>
      </c>
      <c r="E117" s="95">
        <f>+('DOE25'!L280)+('DOE25'!L299)+('DOE25'!L318)</f>
        <v>5511.87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156412.55000000002</v>
      </c>
      <c r="D118" s="24" t="s">
        <v>289</v>
      </c>
      <c r="E118" s="95">
        <f>+('DOE25'!L281)+('DOE25'!L300)+('DOE25'!L319)</f>
        <v>111457.71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464458.25</v>
      </c>
      <c r="D119" s="24" t="s">
        <v>289</v>
      </c>
      <c r="E119" s="95">
        <f>+('DOE25'!L282)+('DOE25'!L301)+('DOE25'!L320)</f>
        <v>9750.0299999999988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309656.61000000004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428431.75999999995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442739.12000000005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52760.9</v>
      </c>
      <c r="D124" s="24" t="s">
        <v>289</v>
      </c>
      <c r="E124" s="95">
        <f>+('DOE25'!L287)+('DOE25'!L306)+('DOE25'!L325)</f>
        <v>70.25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114789.23999999999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2282086.61</v>
      </c>
      <c r="D127" s="86">
        <f>SUM(D117:D126)</f>
        <v>114789.23999999999</v>
      </c>
      <c r="E127" s="86">
        <f>SUM(E117:E126)</f>
        <v>126789.86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8613.5300000000007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26709.57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2590.11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-4299.68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33613.53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7875556.1299999999</v>
      </c>
      <c r="D144" s="86">
        <f>(D114+D127+D143)</f>
        <v>114789.23999999999</v>
      </c>
      <c r="E144" s="86">
        <f>(E114+E127+E143)</f>
        <v>216590.41999999998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Chesterfield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17124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17124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3591156</v>
      </c>
      <c r="D10" s="182">
        <f>ROUND((C10/$C$28)*100,1)</f>
        <v>44.3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2007545</v>
      </c>
      <c r="D11" s="182">
        <f>ROUND((C11/$C$28)*100,1)</f>
        <v>24.8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50956</v>
      </c>
      <c r="D13" s="182">
        <f>ROUND((C13/$C$28)*100,1)</f>
        <v>0.6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433139</v>
      </c>
      <c r="D15" s="182">
        <f t="shared" ref="D15:D27" si="0">ROUND((C15/$C$28)*100,1)</f>
        <v>5.3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267870</v>
      </c>
      <c r="D16" s="182">
        <f t="shared" si="0"/>
        <v>3.3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527039</v>
      </c>
      <c r="D17" s="182">
        <f t="shared" si="0"/>
        <v>6.5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309657</v>
      </c>
      <c r="D18" s="182">
        <f t="shared" si="0"/>
        <v>3.8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428432</v>
      </c>
      <c r="D20" s="182">
        <f t="shared" si="0"/>
        <v>5.3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442739</v>
      </c>
      <c r="D21" s="182">
        <f t="shared" si="0"/>
        <v>5.5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42588.95</v>
      </c>
      <c r="D27" s="182">
        <f t="shared" si="0"/>
        <v>0.5</v>
      </c>
    </row>
    <row r="28" spans="1:4">
      <c r="B28" s="187" t="s">
        <v>723</v>
      </c>
      <c r="C28" s="180">
        <f>SUM(C10:C27)</f>
        <v>8101121.9500000002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8101121.9500000002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4710580</v>
      </c>
      <c r="D35" s="182">
        <f t="shared" ref="D35:D40" si="1">ROUND((C35/$C$41)*100,1)</f>
        <v>59.6</v>
      </c>
    </row>
    <row r="36" spans="1:4">
      <c r="B36" s="185" t="s">
        <v>743</v>
      </c>
      <c r="C36" s="179">
        <f>SUM('DOE25'!F111:J111)-SUM('DOE25'!G96:G109)+('DOE25'!F173+'DOE25'!F174+'DOE25'!I173+'DOE25'!I174)-C35</f>
        <v>178316.74000000022</v>
      </c>
      <c r="D36" s="182">
        <f t="shared" si="1"/>
        <v>2.2999999999999998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2380773</v>
      </c>
      <c r="D37" s="182">
        <f t="shared" si="1"/>
        <v>30.1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229173</v>
      </c>
      <c r="D38" s="182">
        <f t="shared" si="1"/>
        <v>2.9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400340</v>
      </c>
      <c r="D39" s="182">
        <f t="shared" si="1"/>
        <v>5.0999999999999996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7899182.7400000002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Chesterfield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2012-06-19T17:07:30Z</cp:lastPrinted>
  <dcterms:created xsi:type="dcterms:W3CDTF">1997-12-04T19:04:30Z</dcterms:created>
  <dcterms:modified xsi:type="dcterms:W3CDTF">2012-11-21T14:21:33Z</dcterms:modified>
</cp:coreProperties>
</file>