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4" i="1" l="1"/>
  <c r="H664" i="1"/>
  <c r="F581" i="1"/>
  <c r="H579" i="1"/>
  <c r="H581" i="1"/>
  <c r="G579" i="1"/>
  <c r="G581" i="1"/>
  <c r="G664" i="1"/>
  <c r="H158" i="1"/>
  <c r="H160" i="1"/>
  <c r="H156" i="1"/>
  <c r="H154" i="1"/>
  <c r="H134" i="1"/>
  <c r="H153" i="1"/>
  <c r="H144" i="1"/>
  <c r="H146" i="1"/>
  <c r="H47" i="1"/>
  <c r="H13" i="1"/>
  <c r="H31" i="1"/>
  <c r="H22" i="1"/>
  <c r="E10" i="13"/>
  <c r="D9" i="13"/>
  <c r="F49" i="1"/>
  <c r="C38" i="12"/>
  <c r="B38" i="12"/>
  <c r="B19" i="12"/>
  <c r="B28" i="12"/>
  <c r="B12" i="12"/>
  <c r="B10" i="12" s="1"/>
  <c r="B13" i="12" s="1"/>
  <c r="A13" i="12" s="1"/>
  <c r="H109" i="1"/>
  <c r="H110" i="1" s="1"/>
  <c r="H325" i="1"/>
  <c r="F325" i="1"/>
  <c r="H306" i="1"/>
  <c r="H287" i="1"/>
  <c r="L287" i="1" s="1"/>
  <c r="E124" i="2" s="1"/>
  <c r="G532" i="1"/>
  <c r="G531" i="1"/>
  <c r="G530" i="1"/>
  <c r="F532" i="1"/>
  <c r="L532" i="1"/>
  <c r="H550" i="1" s="1"/>
  <c r="F531" i="1"/>
  <c r="F530" i="1"/>
  <c r="F498" i="1"/>
  <c r="F497" i="1"/>
  <c r="F499" i="1" s="1"/>
  <c r="K522" i="1"/>
  <c r="K521" i="1"/>
  <c r="K520" i="1"/>
  <c r="J591" i="1"/>
  <c r="H542" i="1"/>
  <c r="L542" i="1" s="1"/>
  <c r="J550" i="1" s="1"/>
  <c r="I591" i="1"/>
  <c r="H541" i="1"/>
  <c r="L541" i="1" s="1"/>
  <c r="J549" i="1" s="1"/>
  <c r="H591" i="1"/>
  <c r="H540" i="1" s="1"/>
  <c r="L540" i="1" s="1"/>
  <c r="H594" i="1"/>
  <c r="K594" i="1" s="1"/>
  <c r="H178" i="1"/>
  <c r="F159" i="1"/>
  <c r="F22" i="1"/>
  <c r="H295" i="1"/>
  <c r="K320" i="1"/>
  <c r="J319" i="1"/>
  <c r="I318" i="1"/>
  <c r="H318" i="1"/>
  <c r="G318" i="1"/>
  <c r="F318" i="1"/>
  <c r="K301" i="1"/>
  <c r="J300" i="1"/>
  <c r="I299" i="1"/>
  <c r="H299" i="1"/>
  <c r="G299" i="1"/>
  <c r="F299" i="1"/>
  <c r="K282" i="1"/>
  <c r="J281" i="1"/>
  <c r="I280" i="1"/>
  <c r="H280" i="1"/>
  <c r="G280" i="1"/>
  <c r="F280" i="1"/>
  <c r="K322" i="1"/>
  <c r="K327" i="1" s="1"/>
  <c r="I321" i="1"/>
  <c r="H321" i="1"/>
  <c r="H314" i="1"/>
  <c r="G314" i="1"/>
  <c r="F314" i="1"/>
  <c r="L314" i="1" s="1"/>
  <c r="J313" i="1"/>
  <c r="I313" i="1"/>
  <c r="H313" i="1"/>
  <c r="G313" i="1"/>
  <c r="F313" i="1"/>
  <c r="K303" i="1"/>
  <c r="I302" i="1"/>
  <c r="H302" i="1"/>
  <c r="J295" i="1"/>
  <c r="J521" i="1" s="1"/>
  <c r="I295" i="1"/>
  <c r="G295" i="1"/>
  <c r="F295" i="1"/>
  <c r="L295" i="1" s="1"/>
  <c r="J294" i="1"/>
  <c r="I294" i="1"/>
  <c r="H294" i="1"/>
  <c r="G294" i="1"/>
  <c r="F294" i="1"/>
  <c r="K284" i="1"/>
  <c r="I283" i="1"/>
  <c r="H283" i="1"/>
  <c r="L283" i="1" s="1"/>
  <c r="J276" i="1"/>
  <c r="I276" i="1"/>
  <c r="H276" i="1"/>
  <c r="G276" i="1"/>
  <c r="F276" i="1"/>
  <c r="J275" i="1"/>
  <c r="I275" i="1"/>
  <c r="H275" i="1"/>
  <c r="G275" i="1"/>
  <c r="F275" i="1"/>
  <c r="H332" i="1"/>
  <c r="K332" i="1"/>
  <c r="G332" i="1"/>
  <c r="F332" i="1"/>
  <c r="I332" i="1"/>
  <c r="J332" i="1"/>
  <c r="I334" i="1"/>
  <c r="I336" i="1" s="1"/>
  <c r="H334" i="1"/>
  <c r="G334" i="1"/>
  <c r="F334" i="1"/>
  <c r="L334" i="1" s="1"/>
  <c r="J278" i="1"/>
  <c r="I278" i="1"/>
  <c r="H278" i="1"/>
  <c r="G278" i="1"/>
  <c r="L278" i="1" s="1"/>
  <c r="F278" i="1"/>
  <c r="I320" i="1"/>
  <c r="H320" i="1"/>
  <c r="L320" i="1"/>
  <c r="H319" i="1"/>
  <c r="J315" i="1"/>
  <c r="I315" i="1"/>
  <c r="H315" i="1"/>
  <c r="L315" i="1" s="1"/>
  <c r="I281" i="1"/>
  <c r="H285" i="1"/>
  <c r="H281" i="1"/>
  <c r="G281" i="1"/>
  <c r="L281" i="1" s="1"/>
  <c r="E118" i="2" s="1"/>
  <c r="H367" i="1"/>
  <c r="G367" i="1"/>
  <c r="I367" i="1"/>
  <c r="F367" i="1"/>
  <c r="K357" i="1"/>
  <c r="I357" i="1"/>
  <c r="H359" i="1"/>
  <c r="H358" i="1"/>
  <c r="H357" i="1"/>
  <c r="G357" i="1"/>
  <c r="G157" i="1"/>
  <c r="D87" i="2" s="1"/>
  <c r="D90" i="2" s="1"/>
  <c r="H65" i="1"/>
  <c r="F12" i="1"/>
  <c r="H29" i="1"/>
  <c r="G24" i="1"/>
  <c r="G22" i="1"/>
  <c r="G32" i="1" s="1"/>
  <c r="F9" i="1"/>
  <c r="F161" i="1"/>
  <c r="F135" i="1"/>
  <c r="K243" i="1"/>
  <c r="J243" i="1"/>
  <c r="I243" i="1"/>
  <c r="H243" i="1"/>
  <c r="G243" i="1"/>
  <c r="F243" i="1"/>
  <c r="I239" i="1"/>
  <c r="H239" i="1"/>
  <c r="G239" i="1"/>
  <c r="L239" i="1" s="1"/>
  <c r="F239" i="1"/>
  <c r="J238" i="1"/>
  <c r="I238" i="1"/>
  <c r="H238" i="1"/>
  <c r="F238" i="1"/>
  <c r="I240" i="1"/>
  <c r="H240" i="1"/>
  <c r="G240" i="1"/>
  <c r="F240" i="1"/>
  <c r="I242" i="1"/>
  <c r="H242" i="1"/>
  <c r="G242" i="1"/>
  <c r="F242" i="1"/>
  <c r="H237" i="1"/>
  <c r="G237" i="1"/>
  <c r="F237" i="1"/>
  <c r="I233" i="1"/>
  <c r="I522" i="1" s="1"/>
  <c r="H233" i="1"/>
  <c r="G233" i="1"/>
  <c r="G522" i="1" s="1"/>
  <c r="F234" i="1"/>
  <c r="F233" i="1"/>
  <c r="F522" i="1" s="1"/>
  <c r="I232" i="1"/>
  <c r="H232" i="1"/>
  <c r="G232" i="1"/>
  <c r="F232" i="1"/>
  <c r="K225" i="1"/>
  <c r="J225" i="1"/>
  <c r="I225" i="1"/>
  <c r="H225" i="1"/>
  <c r="G225" i="1"/>
  <c r="F225" i="1"/>
  <c r="L225" i="1" s="1"/>
  <c r="I590" i="1" s="1"/>
  <c r="I221" i="1"/>
  <c r="H221" i="1"/>
  <c r="G221" i="1"/>
  <c r="L221" i="1"/>
  <c r="F221" i="1"/>
  <c r="J220" i="1"/>
  <c r="I220" i="1"/>
  <c r="H220" i="1"/>
  <c r="F220" i="1"/>
  <c r="I222" i="1"/>
  <c r="H222" i="1"/>
  <c r="G222" i="1"/>
  <c r="F222" i="1"/>
  <c r="I224" i="1"/>
  <c r="H224" i="1"/>
  <c r="G224" i="1"/>
  <c r="F224" i="1"/>
  <c r="L224" i="1" s="1"/>
  <c r="H219" i="1"/>
  <c r="G219" i="1"/>
  <c r="F219" i="1"/>
  <c r="I215" i="1"/>
  <c r="I521" i="1" s="1"/>
  <c r="I523" i="1" s="1"/>
  <c r="I544" i="1" s="1"/>
  <c r="H215" i="1"/>
  <c r="H521" i="1" s="1"/>
  <c r="G215" i="1"/>
  <c r="F215" i="1"/>
  <c r="F521" i="1" s="1"/>
  <c r="I214" i="1"/>
  <c r="H214" i="1"/>
  <c r="G214" i="1"/>
  <c r="F214" i="1"/>
  <c r="K207" i="1"/>
  <c r="G15" i="13" s="1"/>
  <c r="J207" i="1"/>
  <c r="I207" i="1"/>
  <c r="H207" i="1"/>
  <c r="G207" i="1"/>
  <c r="F207" i="1"/>
  <c r="I203" i="1"/>
  <c r="H203" i="1"/>
  <c r="G203" i="1"/>
  <c r="F203" i="1"/>
  <c r="J202" i="1"/>
  <c r="I202" i="1"/>
  <c r="H202" i="1"/>
  <c r="F202" i="1"/>
  <c r="I204" i="1"/>
  <c r="H204" i="1"/>
  <c r="G204" i="1"/>
  <c r="F204" i="1"/>
  <c r="I206" i="1"/>
  <c r="H206" i="1"/>
  <c r="G206" i="1"/>
  <c r="F206" i="1"/>
  <c r="H201" i="1"/>
  <c r="G201" i="1"/>
  <c r="F201" i="1"/>
  <c r="J197" i="1"/>
  <c r="I197" i="1"/>
  <c r="I520" i="1"/>
  <c r="H197" i="1"/>
  <c r="L197" i="1"/>
  <c r="G197" i="1"/>
  <c r="C18" i="12"/>
  <c r="C19" i="12" s="1"/>
  <c r="C22" i="12" s="1"/>
  <c r="F197" i="1"/>
  <c r="F520" i="1"/>
  <c r="F523" i="1" s="1"/>
  <c r="I196" i="1"/>
  <c r="H196" i="1"/>
  <c r="G196" i="1"/>
  <c r="C9" i="12" s="1"/>
  <c r="C10" i="12" s="1"/>
  <c r="C13" i="12" s="1"/>
  <c r="F196" i="1"/>
  <c r="K240" i="1"/>
  <c r="J240" i="1"/>
  <c r="G238" i="1"/>
  <c r="K237" i="1"/>
  <c r="I237" i="1"/>
  <c r="K235" i="1"/>
  <c r="J235" i="1"/>
  <c r="I235" i="1"/>
  <c r="H235" i="1"/>
  <c r="G235" i="1"/>
  <c r="F235" i="1"/>
  <c r="J234" i="1"/>
  <c r="I234" i="1"/>
  <c r="H234" i="1"/>
  <c r="L234" i="1"/>
  <c r="G234" i="1"/>
  <c r="G246" i="1" s="1"/>
  <c r="J233" i="1"/>
  <c r="J522" i="1" s="1"/>
  <c r="K232" i="1"/>
  <c r="K246" i="1" s="1"/>
  <c r="J232" i="1"/>
  <c r="J222" i="1"/>
  <c r="F12" i="13" s="1"/>
  <c r="G220" i="1"/>
  <c r="J219" i="1"/>
  <c r="I219" i="1"/>
  <c r="I217" i="1"/>
  <c r="H217" i="1"/>
  <c r="G217" i="1"/>
  <c r="F217" i="1"/>
  <c r="B36" i="12" s="1"/>
  <c r="B39" i="12" s="1"/>
  <c r="B40" i="12" s="1"/>
  <c r="I216" i="1"/>
  <c r="I228" i="1" s="1"/>
  <c r="H216" i="1"/>
  <c r="F216" i="1"/>
  <c r="K214" i="1"/>
  <c r="J214" i="1"/>
  <c r="J206" i="1"/>
  <c r="K204" i="1"/>
  <c r="K202" i="1"/>
  <c r="J201" i="1"/>
  <c r="I201" i="1"/>
  <c r="F109" i="1"/>
  <c r="F184" i="1"/>
  <c r="F116" i="1"/>
  <c r="F100" i="1"/>
  <c r="F77" i="1"/>
  <c r="F71" i="1"/>
  <c r="F67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D39" i="13"/>
  <c r="F13" i="13"/>
  <c r="G13" i="13"/>
  <c r="L205" i="1"/>
  <c r="L223" i="1"/>
  <c r="C121" i="2"/>
  <c r="L241" i="1"/>
  <c r="F16" i="13"/>
  <c r="G16" i="13"/>
  <c r="L208" i="1"/>
  <c r="L226" i="1"/>
  <c r="L244" i="1"/>
  <c r="G5" i="13"/>
  <c r="L198" i="1"/>
  <c r="L199" i="1"/>
  <c r="L216" i="1"/>
  <c r="L217" i="1"/>
  <c r="L235" i="1"/>
  <c r="F6" i="13"/>
  <c r="G6" i="13"/>
  <c r="L237" i="1"/>
  <c r="L220" i="1"/>
  <c r="G12" i="13"/>
  <c r="L204" i="1"/>
  <c r="F14" i="13"/>
  <c r="G14" i="13"/>
  <c r="F15" i="13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I366" i="1"/>
  <c r="J289" i="1"/>
  <c r="J308" i="1"/>
  <c r="J327" i="1"/>
  <c r="K289" i="1"/>
  <c r="L275" i="1"/>
  <c r="L277" i="1"/>
  <c r="L280" i="1"/>
  <c r="E117" i="2" s="1"/>
  <c r="L282" i="1"/>
  <c r="L284" i="1"/>
  <c r="L285" i="1"/>
  <c r="L286" i="1"/>
  <c r="L296" i="1"/>
  <c r="L297" i="1"/>
  <c r="L299" i="1"/>
  <c r="L300" i="1"/>
  <c r="L303" i="1"/>
  <c r="L304" i="1"/>
  <c r="L305" i="1"/>
  <c r="L306" i="1"/>
  <c r="L313" i="1"/>
  <c r="L316" i="1"/>
  <c r="L318" i="1"/>
  <c r="L319" i="1"/>
  <c r="L321" i="1"/>
  <c r="L322" i="1"/>
  <c r="L323" i="1"/>
  <c r="L324" i="1"/>
  <c r="L325" i="1"/>
  <c r="L332" i="1"/>
  <c r="L333" i="1"/>
  <c r="L259" i="1"/>
  <c r="L260" i="1"/>
  <c r="C131" i="2" s="1"/>
  <c r="L340" i="1"/>
  <c r="L341" i="1"/>
  <c r="L254" i="1"/>
  <c r="L335" i="1"/>
  <c r="E129" i="2" s="1"/>
  <c r="E143" i="2" s="1"/>
  <c r="C11" i="13"/>
  <c r="C10" i="13"/>
  <c r="C9" i="13"/>
  <c r="L360" i="1"/>
  <c r="B4" i="12"/>
  <c r="B27" i="12"/>
  <c r="B31" i="12"/>
  <c r="B9" i="12"/>
  <c r="B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L611" i="1"/>
  <c r="L610" i="1"/>
  <c r="C40" i="10"/>
  <c r="F59" i="1"/>
  <c r="G59" i="1"/>
  <c r="H59" i="1"/>
  <c r="I59" i="1"/>
  <c r="F93" i="1"/>
  <c r="G110" i="1"/>
  <c r="H78" i="1"/>
  <c r="E56" i="2"/>
  <c r="H93" i="1"/>
  <c r="E57" i="2"/>
  <c r="I110" i="1"/>
  <c r="I111" i="1"/>
  <c r="J110" i="1"/>
  <c r="J111" i="1"/>
  <c r="F120" i="1"/>
  <c r="F139" i="1"/>
  <c r="G120" i="1"/>
  <c r="G135" i="1"/>
  <c r="G139" i="1" s="1"/>
  <c r="H135" i="1"/>
  <c r="H120" i="1"/>
  <c r="I120" i="1"/>
  <c r="I135" i="1"/>
  <c r="J120" i="1"/>
  <c r="J139" i="1"/>
  <c r="J135" i="1"/>
  <c r="F146" i="1"/>
  <c r="F168" i="1" s="1"/>
  <c r="G146" i="1"/>
  <c r="G161" i="1"/>
  <c r="I146" i="1"/>
  <c r="I161" i="1"/>
  <c r="L249" i="1"/>
  <c r="L331" i="1"/>
  <c r="L253" i="1"/>
  <c r="L267" i="1"/>
  <c r="L268" i="1"/>
  <c r="L348" i="1"/>
  <c r="E141" i="2" s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E134" i="2" s="1"/>
  <c r="L345" i="1"/>
  <c r="L346" i="1"/>
  <c r="K350" i="1"/>
  <c r="L525" i="1"/>
  <c r="G548" i="1" s="1"/>
  <c r="L526" i="1"/>
  <c r="G549" i="1" s="1"/>
  <c r="L527" i="1"/>
  <c r="G550" i="1" s="1"/>
  <c r="L530" i="1"/>
  <c r="L531" i="1"/>
  <c r="H549" i="1"/>
  <c r="L535" i="1"/>
  <c r="I548" i="1"/>
  <c r="L536" i="1"/>
  <c r="I549" i="1"/>
  <c r="L537" i="1"/>
  <c r="I550" i="1"/>
  <c r="E131" i="2"/>
  <c r="E130" i="2"/>
  <c r="K269" i="1"/>
  <c r="J269" i="1"/>
  <c r="I269" i="1"/>
  <c r="H269" i="1"/>
  <c r="G269" i="1"/>
  <c r="F269" i="1"/>
  <c r="L269" i="1" s="1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F18" i="2" s="1"/>
  <c r="I444" i="1"/>
  <c r="J18" i="1"/>
  <c r="G17" i="2" s="1"/>
  <c r="D21" i="2"/>
  <c r="E21" i="2"/>
  <c r="F21" i="2"/>
  <c r="I447" i="1"/>
  <c r="J22" i="1" s="1"/>
  <c r="G21" i="2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I455" i="1"/>
  <c r="J43" i="1" s="1"/>
  <c r="G42" i="2" s="1"/>
  <c r="I456" i="1"/>
  <c r="J37" i="1"/>
  <c r="G36" i="2" s="1"/>
  <c r="I458" i="1"/>
  <c r="J47" i="1" s="1"/>
  <c r="G46" i="2" s="1"/>
  <c r="C48" i="2"/>
  <c r="C55" i="2"/>
  <c r="E55" i="2"/>
  <c r="F55" i="2"/>
  <c r="C57" i="2"/>
  <c r="C58" i="2"/>
  <c r="D58" i="2"/>
  <c r="E58" i="2"/>
  <c r="F58" i="2"/>
  <c r="D59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F80" i="2" s="1"/>
  <c r="F103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F84" i="2"/>
  <c r="C86" i="2"/>
  <c r="E86" i="2"/>
  <c r="F86" i="2"/>
  <c r="C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12" i="2"/>
  <c r="C113" i="2"/>
  <c r="D114" i="2"/>
  <c r="F114" i="2"/>
  <c r="G114" i="2"/>
  <c r="E122" i="2"/>
  <c r="F127" i="2"/>
  <c r="G127" i="2"/>
  <c r="C129" i="2"/>
  <c r="D133" i="2"/>
  <c r="D143" i="2" s="1"/>
  <c r="E133" i="2"/>
  <c r="F133" i="2"/>
  <c r="K418" i="1"/>
  <c r="K426" i="1"/>
  <c r="K432" i="1"/>
  <c r="L262" i="1"/>
  <c r="C134" i="2" s="1"/>
  <c r="L263" i="1"/>
  <c r="C135" i="2" s="1"/>
  <c r="L264" i="1"/>
  <c r="C136" i="2" s="1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I32" i="1"/>
  <c r="F50" i="1"/>
  <c r="G50" i="1"/>
  <c r="H50" i="1"/>
  <c r="I50" i="1"/>
  <c r="I51" i="1" s="1"/>
  <c r="H619" i="1"/>
  <c r="F176" i="1"/>
  <c r="I176" i="1"/>
  <c r="F182" i="1"/>
  <c r="G182" i="1"/>
  <c r="H182" i="1"/>
  <c r="H191" i="1"/>
  <c r="I182" i="1"/>
  <c r="J182" i="1"/>
  <c r="J191" i="1" s="1"/>
  <c r="F187" i="1"/>
  <c r="F191" i="1" s="1"/>
  <c r="G187" i="1"/>
  <c r="H187" i="1"/>
  <c r="I187" i="1"/>
  <c r="I191" i="1" s="1"/>
  <c r="F210" i="1"/>
  <c r="I210" i="1"/>
  <c r="J210" i="1"/>
  <c r="G228" i="1"/>
  <c r="H228" i="1"/>
  <c r="J228" i="1"/>
  <c r="I603" i="1" s="1"/>
  <c r="K228" i="1"/>
  <c r="F246" i="1"/>
  <c r="I246" i="1"/>
  <c r="J246" i="1"/>
  <c r="J603" i="1" s="1"/>
  <c r="F255" i="1"/>
  <c r="G255" i="1"/>
  <c r="H255" i="1"/>
  <c r="I255" i="1"/>
  <c r="J255" i="1"/>
  <c r="K255" i="1"/>
  <c r="F289" i="1"/>
  <c r="G289" i="1"/>
  <c r="H289" i="1"/>
  <c r="F308" i="1"/>
  <c r="G308" i="1"/>
  <c r="H308" i="1"/>
  <c r="F327" i="1"/>
  <c r="G327" i="1"/>
  <c r="H327" i="1"/>
  <c r="H337" i="1" s="1"/>
  <c r="H351" i="1" s="1"/>
  <c r="F336" i="1"/>
  <c r="G336" i="1"/>
  <c r="H336" i="1"/>
  <c r="J336" i="1"/>
  <c r="H603" i="1" s="1"/>
  <c r="K336" i="1"/>
  <c r="L336" i="1"/>
  <c r="F361" i="1"/>
  <c r="G361" i="1"/>
  <c r="I361" i="1"/>
  <c r="G633" i="1"/>
  <c r="J361" i="1"/>
  <c r="K361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L432" i="1" s="1"/>
  <c r="F432" i="1"/>
  <c r="F433" i="1"/>
  <c r="G432" i="1"/>
  <c r="H432" i="1"/>
  <c r="I432" i="1"/>
  <c r="I433" i="1"/>
  <c r="J432" i="1"/>
  <c r="F445" i="1"/>
  <c r="G445" i="1"/>
  <c r="G639" i="1"/>
  <c r="H445" i="1"/>
  <c r="F451" i="1"/>
  <c r="G451" i="1"/>
  <c r="H451" i="1"/>
  <c r="I451" i="1"/>
  <c r="F459" i="1"/>
  <c r="G459" i="1"/>
  <c r="H459" i="1"/>
  <c r="G460" i="1"/>
  <c r="H639" i="1" s="1"/>
  <c r="H460" i="1"/>
  <c r="I469" i="1"/>
  <c r="J469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K523" i="1"/>
  <c r="F528" i="1"/>
  <c r="G528" i="1"/>
  <c r="H528" i="1"/>
  <c r="H538" i="1"/>
  <c r="H543" i="1"/>
  <c r="H533" i="1"/>
  <c r="I528" i="1"/>
  <c r="J528" i="1"/>
  <c r="K528" i="1"/>
  <c r="L528" i="1"/>
  <c r="F533" i="1"/>
  <c r="G533" i="1"/>
  <c r="I533" i="1"/>
  <c r="J533" i="1"/>
  <c r="K533" i="1"/>
  <c r="F538" i="1"/>
  <c r="G538" i="1"/>
  <c r="I538" i="1"/>
  <c r="J538" i="1"/>
  <c r="K538" i="1"/>
  <c r="F543" i="1"/>
  <c r="G543" i="1"/>
  <c r="I543" i="1"/>
  <c r="J543" i="1"/>
  <c r="K543" i="1"/>
  <c r="L556" i="1"/>
  <c r="L557" i="1"/>
  <c r="L558" i="1"/>
  <c r="F559" i="1"/>
  <c r="G559" i="1"/>
  <c r="G564" i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F570" i="1" s="1"/>
  <c r="G569" i="1"/>
  <c r="G570" i="1" s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1" i="1"/>
  <c r="K592" i="1"/>
  <c r="K593" i="1"/>
  <c r="K595" i="1"/>
  <c r="K596" i="1"/>
  <c r="I597" i="1"/>
  <c r="H649" i="1"/>
  <c r="K601" i="1"/>
  <c r="K602" i="1"/>
  <c r="F613" i="1"/>
  <c r="G613" i="1"/>
  <c r="H613" i="1"/>
  <c r="I613" i="1"/>
  <c r="J613" i="1"/>
  <c r="K613" i="1"/>
  <c r="L613" i="1"/>
  <c r="G617" i="1"/>
  <c r="G619" i="1"/>
  <c r="G622" i="1"/>
  <c r="G624" i="1"/>
  <c r="H629" i="1"/>
  <c r="H630" i="1"/>
  <c r="H635" i="1"/>
  <c r="H636" i="1"/>
  <c r="H637" i="1"/>
  <c r="G638" i="1"/>
  <c r="G640" i="1"/>
  <c r="H640" i="1"/>
  <c r="G642" i="1"/>
  <c r="H642" i="1"/>
  <c r="G643" i="1"/>
  <c r="H643" i="1"/>
  <c r="J643" i="1"/>
  <c r="G644" i="1"/>
  <c r="J644" i="1"/>
  <c r="H644" i="1"/>
  <c r="G650" i="1"/>
  <c r="G651" i="1"/>
  <c r="J651" i="1" s="1"/>
  <c r="H651" i="1"/>
  <c r="G652" i="1"/>
  <c r="H652" i="1"/>
  <c r="G653" i="1"/>
  <c r="H653" i="1"/>
  <c r="J653" i="1"/>
  <c r="H654" i="1"/>
  <c r="J654" i="1"/>
  <c r="I256" i="1"/>
  <c r="I270" i="1"/>
  <c r="C18" i="2"/>
  <c r="C26" i="10"/>
  <c r="L350" i="1"/>
  <c r="D18" i="13"/>
  <c r="C18" i="13" s="1"/>
  <c r="D18" i="2"/>
  <c r="D17" i="13"/>
  <c r="C17" i="13" s="1"/>
  <c r="D49" i="2"/>
  <c r="F49" i="2"/>
  <c r="G157" i="2"/>
  <c r="G102" i="2"/>
  <c r="C102" i="2"/>
  <c r="F90" i="2"/>
  <c r="D19" i="13"/>
  <c r="C19" i="13" s="1"/>
  <c r="J256" i="1"/>
  <c r="J270" i="1" s="1"/>
  <c r="H111" i="1"/>
  <c r="J640" i="1"/>
  <c r="J570" i="1"/>
  <c r="I168" i="1"/>
  <c r="J475" i="1"/>
  <c r="H625" i="1" s="1"/>
  <c r="G22" i="2"/>
  <c r="J32" i="1"/>
  <c r="C29" i="10"/>
  <c r="L400" i="1"/>
  <c r="C138" i="2"/>
  <c r="L392" i="1"/>
  <c r="F22" i="13"/>
  <c r="C22" i="13"/>
  <c r="H570" i="1"/>
  <c r="F337" i="1"/>
  <c r="F351" i="1" s="1"/>
  <c r="C35" i="10"/>
  <c r="E16" i="13"/>
  <c r="C16" i="13" s="1"/>
  <c r="C49" i="2"/>
  <c r="J192" i="1"/>
  <c r="G630" i="1" s="1"/>
  <c r="J630" i="1" s="1"/>
  <c r="I570" i="1"/>
  <c r="D31" i="2"/>
  <c r="D50" i="2" s="1"/>
  <c r="F77" i="2"/>
  <c r="G8" i="2"/>
  <c r="E112" i="2"/>
  <c r="C23" i="10"/>
  <c r="G661" i="1"/>
  <c r="G649" i="1"/>
  <c r="J649" i="1" s="1"/>
  <c r="C90" i="2"/>
  <c r="E49" i="2"/>
  <c r="G31" i="2"/>
  <c r="I551" i="1"/>
  <c r="J337" i="1"/>
  <c r="G623" i="1"/>
  <c r="G621" i="1"/>
  <c r="C137" i="2"/>
  <c r="B163" i="2"/>
  <c r="K502" i="1"/>
  <c r="J548" i="1"/>
  <c r="J551" i="1" s="1"/>
  <c r="L543" i="1"/>
  <c r="H548" i="1"/>
  <c r="H551" i="1"/>
  <c r="L533" i="1"/>
  <c r="E84" i="2"/>
  <c r="C25" i="10"/>
  <c r="H25" i="13"/>
  <c r="C25" i="13" s="1"/>
  <c r="L559" i="1"/>
  <c r="H433" i="1"/>
  <c r="L255" i="1"/>
  <c r="G155" i="2"/>
  <c r="G433" i="1"/>
  <c r="L418" i="1"/>
  <c r="E102" i="2"/>
  <c r="F102" i="2"/>
  <c r="D102" i="2"/>
  <c r="C77" i="2"/>
  <c r="D61" i="2"/>
  <c r="L381" i="1"/>
  <c r="G635" i="1"/>
  <c r="J635" i="1" s="1"/>
  <c r="E113" i="2"/>
  <c r="E123" i="2"/>
  <c r="E121" i="2"/>
  <c r="E110" i="2"/>
  <c r="J351" i="1"/>
  <c r="G51" i="1"/>
  <c r="H617" i="1" s="1"/>
  <c r="J617" i="1" s="1"/>
  <c r="G162" i="2"/>
  <c r="G159" i="2"/>
  <c r="G158" i="2"/>
  <c r="G156" i="2"/>
  <c r="C69" i="2"/>
  <c r="C80" i="2"/>
  <c r="F61" i="2"/>
  <c r="F62" i="2"/>
  <c r="G61" i="2"/>
  <c r="G62" i="2"/>
  <c r="I368" i="1"/>
  <c r="H633" i="1" s="1"/>
  <c r="J633" i="1" s="1"/>
  <c r="G161" i="2"/>
  <c r="E77" i="2"/>
  <c r="F31" i="13"/>
  <c r="J619" i="1"/>
  <c r="H33" i="13"/>
  <c r="J604" i="1"/>
  <c r="L426" i="1"/>
  <c r="L433" i="1" s="1"/>
  <c r="G637" i="1" s="1"/>
  <c r="J637" i="1" s="1"/>
  <c r="F129" i="2"/>
  <c r="F143" i="2" s="1"/>
  <c r="F144" i="2" s="1"/>
  <c r="C19" i="10"/>
  <c r="G168" i="1"/>
  <c r="I308" i="1"/>
  <c r="L302" i="1"/>
  <c r="E120" i="2" s="1"/>
  <c r="K308" i="1"/>
  <c r="L301" i="1"/>
  <c r="E119" i="2" s="1"/>
  <c r="C21" i="2"/>
  <c r="C31" i="2"/>
  <c r="C50" i="2" s="1"/>
  <c r="F32" i="1"/>
  <c r="F51" i="1" s="1"/>
  <c r="H616" i="1" s="1"/>
  <c r="J616" i="1" s="1"/>
  <c r="C36" i="12"/>
  <c r="E87" i="2"/>
  <c r="E90" i="2"/>
  <c r="H161" i="1"/>
  <c r="H168" i="1" s="1"/>
  <c r="H647" i="1"/>
  <c r="E13" i="13"/>
  <c r="I459" i="1"/>
  <c r="I460" i="1"/>
  <c r="H641" i="1" s="1"/>
  <c r="I445" i="1"/>
  <c r="G641" i="1" s="1"/>
  <c r="C24" i="10"/>
  <c r="G111" i="1"/>
  <c r="D55" i="2"/>
  <c r="D62" i="2" s="1"/>
  <c r="D103" i="2" s="1"/>
  <c r="J590" i="1"/>
  <c r="J597" i="1" s="1"/>
  <c r="H650" i="1" s="1"/>
  <c r="J650" i="1" s="1"/>
  <c r="H661" i="1"/>
  <c r="G7" i="13"/>
  <c r="K210" i="1"/>
  <c r="C12" i="10"/>
  <c r="C110" i="2"/>
  <c r="H210" i="1"/>
  <c r="L196" i="1"/>
  <c r="G210" i="1"/>
  <c r="G256" i="1" s="1"/>
  <c r="G270" i="1" s="1"/>
  <c r="L201" i="1"/>
  <c r="L202" i="1"/>
  <c r="F228" i="1"/>
  <c r="F256" i="1"/>
  <c r="F270" i="1" s="1"/>
  <c r="L214" i="1"/>
  <c r="L215" i="1"/>
  <c r="B18" i="12"/>
  <c r="A22" i="12"/>
  <c r="L219" i="1"/>
  <c r="L232" i="1"/>
  <c r="L233" i="1"/>
  <c r="H246" i="1"/>
  <c r="H256" i="1" s="1"/>
  <c r="H270" i="1" s="1"/>
  <c r="H522" i="1"/>
  <c r="L240" i="1"/>
  <c r="F7" i="13"/>
  <c r="L238" i="1"/>
  <c r="G645" i="1"/>
  <c r="L538" i="1"/>
  <c r="I475" i="1"/>
  <c r="H624" i="1" s="1"/>
  <c r="J624" i="1" s="1"/>
  <c r="H139" i="1"/>
  <c r="C111" i="2"/>
  <c r="C60" i="2"/>
  <c r="F110" i="1"/>
  <c r="G521" i="1"/>
  <c r="L359" i="1"/>
  <c r="H361" i="1"/>
  <c r="H520" i="1"/>
  <c r="G520" i="1"/>
  <c r="C118" i="2"/>
  <c r="D7" i="13"/>
  <c r="C7" i="13" s="1"/>
  <c r="C108" i="2"/>
  <c r="C15" i="10"/>
  <c r="D6" i="13"/>
  <c r="C6" i="13" s="1"/>
  <c r="C117" i="2"/>
  <c r="C39" i="12"/>
  <c r="C40" i="12" s="1"/>
  <c r="A40" i="12" s="1"/>
  <c r="K337" i="1"/>
  <c r="K351" i="1" s="1"/>
  <c r="G31" i="13"/>
  <c r="G33" i="13" s="1"/>
  <c r="H660" i="1"/>
  <c r="D29" i="13"/>
  <c r="C29" i="13"/>
  <c r="F660" i="1"/>
  <c r="D126" i="2"/>
  <c r="D127" i="2" s="1"/>
  <c r="D144" i="2" s="1"/>
  <c r="L361" i="1"/>
  <c r="G660" i="1"/>
  <c r="C13" i="13"/>
  <c r="C109" i="2"/>
  <c r="J641" i="1"/>
  <c r="G471" i="1"/>
  <c r="H634" i="1" s="1"/>
  <c r="C27" i="10"/>
  <c r="G634" i="1"/>
  <c r="C114" i="2"/>
  <c r="I660" i="1"/>
  <c r="G473" i="1"/>
  <c r="J634" i="1" l="1"/>
  <c r="G47" i="2"/>
  <c r="J50" i="1"/>
  <c r="G9" i="2"/>
  <c r="J19" i="1"/>
  <c r="G620" i="1" s="1"/>
  <c r="G551" i="1"/>
  <c r="L522" i="1"/>
  <c r="F550" i="1" s="1"/>
  <c r="K550" i="1" s="1"/>
  <c r="G523" i="1"/>
  <c r="G544" i="1" s="1"/>
  <c r="B160" i="2"/>
  <c r="G160" i="2" s="1"/>
  <c r="K499" i="1"/>
  <c r="H192" i="1"/>
  <c r="C16" i="10"/>
  <c r="K256" i="1"/>
  <c r="K270" i="1" s="1"/>
  <c r="E80" i="2"/>
  <c r="G163" i="2"/>
  <c r="G18" i="2"/>
  <c r="J652" i="1"/>
  <c r="J642" i="1"/>
  <c r="K570" i="1"/>
  <c r="K544" i="1"/>
  <c r="J639" i="1"/>
  <c r="G337" i="1"/>
  <c r="G351" i="1" s="1"/>
  <c r="K433" i="1"/>
  <c r="G133" i="2" s="1"/>
  <c r="G143" i="2" s="1"/>
  <c r="G144" i="2" s="1"/>
  <c r="E31" i="2"/>
  <c r="E50" i="2" s="1"/>
  <c r="E61" i="2"/>
  <c r="F78" i="1"/>
  <c r="L327" i="1"/>
  <c r="I327" i="1"/>
  <c r="H32" i="1"/>
  <c r="H51" i="1" s="1"/>
  <c r="H618" i="1" s="1"/>
  <c r="J618" i="1" s="1"/>
  <c r="H523" i="1"/>
  <c r="H544" i="1" s="1"/>
  <c r="L521" i="1"/>
  <c r="F549" i="1" s="1"/>
  <c r="K549" i="1" s="1"/>
  <c r="E127" i="2"/>
  <c r="G103" i="2"/>
  <c r="L569" i="1"/>
  <c r="L564" i="1"/>
  <c r="L570" i="1" s="1"/>
  <c r="F460" i="1"/>
  <c r="H638" i="1" s="1"/>
  <c r="J638" i="1" s="1"/>
  <c r="E62" i="2"/>
  <c r="G49" i="2"/>
  <c r="F31" i="2"/>
  <c r="F50" i="2" s="1"/>
  <c r="E18" i="2"/>
  <c r="I139" i="1"/>
  <c r="I192" i="1" s="1"/>
  <c r="G629" i="1" s="1"/>
  <c r="J629" i="1" s="1"/>
  <c r="L406" i="1"/>
  <c r="C124" i="2"/>
  <c r="F5" i="13"/>
  <c r="F33" i="13" s="1"/>
  <c r="L206" i="1"/>
  <c r="L203" i="1"/>
  <c r="L207" i="1"/>
  <c r="L222" i="1"/>
  <c r="L242" i="1"/>
  <c r="L246" i="1" s="1"/>
  <c r="H659" i="1" s="1"/>
  <c r="I289" i="1"/>
  <c r="I337" i="1" s="1"/>
  <c r="I351" i="1" s="1"/>
  <c r="L276" i="1"/>
  <c r="L294" i="1"/>
  <c r="C39" i="10"/>
  <c r="G662" i="1"/>
  <c r="I604" i="1"/>
  <c r="K603" i="1"/>
  <c r="K604" i="1" s="1"/>
  <c r="G647" i="1" s="1"/>
  <c r="J647" i="1" s="1"/>
  <c r="F662" i="1"/>
  <c r="H604" i="1"/>
  <c r="D5" i="13"/>
  <c r="E111" i="2"/>
  <c r="C13" i="10"/>
  <c r="G191" i="1"/>
  <c r="G192" i="1" s="1"/>
  <c r="G50" i="2"/>
  <c r="H662" i="1"/>
  <c r="H663" i="1" s="1"/>
  <c r="F544" i="1"/>
  <c r="E109" i="2"/>
  <c r="J520" i="1"/>
  <c r="C27" i="12"/>
  <c r="E108" i="2" l="1"/>
  <c r="E114" i="2" s="1"/>
  <c r="E144" i="2" s="1"/>
  <c r="C10" i="10"/>
  <c r="L308" i="1"/>
  <c r="C120" i="2"/>
  <c r="D12" i="13"/>
  <c r="C12" i="13" s="1"/>
  <c r="C18" i="10"/>
  <c r="E8" i="13"/>
  <c r="C119" i="2"/>
  <c r="C17" i="10"/>
  <c r="L210" i="1"/>
  <c r="C139" i="2"/>
  <c r="L407" i="1"/>
  <c r="C56" i="2"/>
  <c r="C61" i="2" s="1"/>
  <c r="C62" i="2" s="1"/>
  <c r="C103" i="2" s="1"/>
  <c r="F111" i="1"/>
  <c r="G628" i="1"/>
  <c r="H467" i="1"/>
  <c r="J620" i="1"/>
  <c r="J51" i="1"/>
  <c r="H620" i="1" s="1"/>
  <c r="G625" i="1"/>
  <c r="J625" i="1" s="1"/>
  <c r="C11" i="10"/>
  <c r="L289" i="1"/>
  <c r="L337" i="1" s="1"/>
  <c r="G648" i="1"/>
  <c r="D15" i="13"/>
  <c r="C15" i="13" s="1"/>
  <c r="C21" i="10"/>
  <c r="C123" i="2"/>
  <c r="H646" i="1"/>
  <c r="H590" i="1"/>
  <c r="F661" i="1"/>
  <c r="I661" i="1" s="1"/>
  <c r="C122" i="2"/>
  <c r="D14" i="13"/>
  <c r="C14" i="13" s="1"/>
  <c r="C20" i="10"/>
  <c r="E103" i="2"/>
  <c r="L228" i="1"/>
  <c r="G659" i="1" s="1"/>
  <c r="G663" i="1" s="1"/>
  <c r="C38" i="10"/>
  <c r="J523" i="1"/>
  <c r="J544" i="1" s="1"/>
  <c r="L520" i="1"/>
  <c r="C28" i="12"/>
  <c r="C31" i="12" s="1"/>
  <c r="A31" i="12" s="1"/>
  <c r="H671" i="1"/>
  <c r="C6" i="10" s="1"/>
  <c r="H666" i="1"/>
  <c r="G467" i="1"/>
  <c r="G627" i="1"/>
  <c r="C28" i="10"/>
  <c r="C5" i="13"/>
  <c r="I662" i="1"/>
  <c r="G666" i="1" l="1"/>
  <c r="G671" i="1"/>
  <c r="C5" i="10" s="1"/>
  <c r="H628" i="1"/>
  <c r="J628" i="1" s="1"/>
  <c r="H469" i="1"/>
  <c r="F192" i="1"/>
  <c r="C36" i="10"/>
  <c r="C41" i="10" s="1"/>
  <c r="G636" i="1"/>
  <c r="J636" i="1" s="1"/>
  <c r="H645" i="1"/>
  <c r="J645" i="1" s="1"/>
  <c r="L256" i="1"/>
  <c r="L270" i="1" s="1"/>
  <c r="F659" i="1"/>
  <c r="C127" i="2"/>
  <c r="H597" i="1"/>
  <c r="H648" i="1" s="1"/>
  <c r="J648" i="1" s="1"/>
  <c r="K590" i="1"/>
  <c r="K597" i="1" s="1"/>
  <c r="G646" i="1" s="1"/>
  <c r="J646" i="1" s="1"/>
  <c r="H471" i="1"/>
  <c r="L351" i="1"/>
  <c r="G632" i="1" s="1"/>
  <c r="C140" i="2"/>
  <c r="C143" i="2"/>
  <c r="C8" i="13"/>
  <c r="E33" i="13"/>
  <c r="D35" i="13" s="1"/>
  <c r="D31" i="13"/>
  <c r="D35" i="10"/>
  <c r="D38" i="10"/>
  <c r="D36" i="10"/>
  <c r="D37" i="10"/>
  <c r="D40" i="10"/>
  <c r="D22" i="10"/>
  <c r="D20" i="10"/>
  <c r="D26" i="10"/>
  <c r="D19" i="10"/>
  <c r="D24" i="10"/>
  <c r="D27" i="10"/>
  <c r="D11" i="10"/>
  <c r="D25" i="10"/>
  <c r="D12" i="10"/>
  <c r="D18" i="10"/>
  <c r="D10" i="10"/>
  <c r="C30" i="10"/>
  <c r="D23" i="10"/>
  <c r="D21" i="10"/>
  <c r="D17" i="10"/>
  <c r="D16" i="10"/>
  <c r="D15" i="10"/>
  <c r="D39" i="10"/>
  <c r="D13" i="10"/>
  <c r="F548" i="1"/>
  <c r="L523" i="1"/>
  <c r="L544" i="1" s="1"/>
  <c r="H627" i="1"/>
  <c r="J627" i="1" s="1"/>
  <c r="G469" i="1"/>
  <c r="G475" i="1" s="1"/>
  <c r="H622" i="1" s="1"/>
  <c r="J622" i="1" s="1"/>
  <c r="I659" i="1" l="1"/>
  <c r="I663" i="1" s="1"/>
  <c r="F663" i="1"/>
  <c r="C31" i="13"/>
  <c r="D33" i="13"/>
  <c r="D36" i="13" s="1"/>
  <c r="H473" i="1"/>
  <c r="H475" i="1" s="1"/>
  <c r="H623" i="1" s="1"/>
  <c r="J623" i="1" s="1"/>
  <c r="H632" i="1"/>
  <c r="J632" i="1" s="1"/>
  <c r="C144" i="2"/>
  <c r="G631" i="1"/>
  <c r="F471" i="1"/>
  <c r="G626" i="1"/>
  <c r="F467" i="1"/>
  <c r="D28" i="10"/>
  <c r="F551" i="1"/>
  <c r="K548" i="1"/>
  <c r="K551" i="1" s="1"/>
  <c r="D41" i="10"/>
  <c r="F671" i="1" l="1"/>
  <c r="C4" i="10" s="1"/>
  <c r="F666" i="1"/>
  <c r="F469" i="1"/>
  <c r="H626" i="1"/>
  <c r="J626" i="1" s="1"/>
  <c r="F473" i="1"/>
  <c r="F475" i="1" s="1"/>
  <c r="H621" i="1" s="1"/>
  <c r="H631" i="1"/>
  <c r="J631" i="1" s="1"/>
  <c r="I671" i="1"/>
  <c r="C7" i="10" s="1"/>
  <c r="I666" i="1"/>
  <c r="J621" i="1" l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<sst xmlns="http://schemas.openxmlformats.org/spreadsheetml/2006/main" count="3945" uniqueCount="912">
  <si>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</si>
  <si>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</si>
  <si>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</si>
  <si>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</si>
  <si>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</si>
  <si>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</si>
  <si>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</si>
  <si>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</si>
  <si>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</si>
  <si>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</si>
  <si>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</si>
  <si>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</si>
  <si>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</si>
  <si>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</si>
  <si>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</si>
  <si>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</si>
  <si>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</si>
  <si>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</si>
  <si>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</si>
  <si>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</si>
  <si>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</si>
  <si>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</si>
  <si>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</si>
  <si>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</si>
  <si>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</si>
  <si>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</si>
  <si>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</si>
  <si>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</si>
  <si>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</si>
  <si>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</si>
  <si>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</si>
  <si>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</si>
  <si>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</si>
  <si>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</si>
  <si>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</si>
  <si>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</si>
  <si>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</si>
  <si>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</si>
  <si>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</si>
  <si>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</si>
  <si>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</si>
  <si>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</si>
  <si>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</si>
  <si>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</si>
  <si>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</si>
  <si>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</si>
  <si>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</si>
  <si>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</si>
  <si>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</si>
  <si>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</si>
  <si>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</si>
  <si>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</si>
  <si>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</si>
  <si>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</si>
  <si>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</si>
  <si>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</si>
  <si>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</si>
  <si>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</si>
  <si>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</si>
  <si>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</si>
  <si>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</si>
  <si>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</si>
  <si>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</si>
  <si>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</si>
  <si>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</si>
  <si>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</si>
  <si>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</si>
  <si>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</si>
  <si>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</si>
  <si>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</si>
  <si>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</si>
  <si>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</si>
  <si>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</si>
  <si>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</si>
  <si>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</si>
  <si>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</si>
  <si>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</si>
  <si>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</si>
  <si>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</si>
  <si>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</si>
  <si>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</si>
  <si>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</si>
  <si>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</si>
  <si>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</si>
  <si>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</si>
  <si>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</si>
  <si>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</si>
  <si>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</si>
  <si>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</si>
  <si>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</si>
  <si>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</si>
  <si>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</si>
  <si>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</si>
  <si>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</si>
  <si>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</si>
  <si>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</si>
  <si>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</si>
  <si>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</si>
  <si>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</si>
  <si>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</si>
  <si>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</si>
  <si>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</si>
  <si>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</si>
  <si>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</si>
  <si>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</si>
  <si>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</si>
  <si>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</si>
  <si>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</si>
  <si>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</si>
  <si>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</si>
  <si>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</si>
  <si>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</si>
  <si>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</si>
  <si>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</si>
  <si>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</si>
  <si>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</si>
  <si>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</si>
  <si>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</si>
  <si>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</si>
  <si>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</si>
  <si>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</si>
  <si>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</si>
  <si>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</si>
  <si>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</si>
  <si>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</si>
  <si>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</si>
  <si>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</si>
  <si>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</si>
  <si>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</si>
  <si>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</si>
  <si>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</si>
  <si>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</si>
  <si>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</si>
  <si>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</si>
  <si>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</si>
  <si>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</si>
  <si>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</si>
  <si>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</si>
  <si>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</si>
  <si>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</si>
  <si>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</si>
  <si>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</si>
  <si>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</si>
  <si>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</si>
  <si>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</si>
  <si>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</si>
  <si>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</si>
  <si>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</si>
  <si>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</si>
  <si>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</si>
  <si>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</si>
  <si>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</si>
  <si>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</si>
  <si>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</si>
  <si>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</si>
  <si>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</si>
  <si>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</si>
  <si>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</si>
  <si>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</si>
  <si>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</si>
  <si>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</si>
  <si>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</si>
  <si>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</si>
  <si>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</si>
  <si>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</si>
  <si>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</si>
  <si>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</si>
  <si>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</si>
  <si>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</si>
  <si>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</si>
  <si>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</si>
  <si>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</si>
  <si>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</si>
  <si>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</si>
  <si>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</si>
  <si>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</si>
  <si>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</si>
  <si>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</si>
  <si>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</si>
  <si>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</si>
  <si>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</si>
  <si>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</si>
  <si>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</si>
  <si>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</si>
  <si>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</si>
  <si>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</si>
  <si>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</si>
  <si>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</si>
  <si>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</si>
  <si>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</si>
  <si>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</si>
  <si>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</si>
  <si>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</si>
  <si>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</si>
  <si>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</si>
  <si>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</si>
  <si>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</si>
  <si>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</si>
  <si>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</si>
  <si>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</si>
  <si>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</si>
  <si>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</si>
  <si>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</si>
  <si>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</si>
  <si>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</si>
  <si>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</si>
  <si>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</si>
  <si>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</si>
  <si>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</si>
  <si>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</si>
  <si>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</si>
  <si>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</si>
  <si>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</si>
  <si>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</si>
  <si>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</si>
  <si>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</si>
  <si>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</si>
  <si>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</si>
  <si>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</si>
  <si>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</si>
  <si>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</si>
  <si>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</si>
  <si>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</si>
  <si>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</si>
  <si>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</si>
  <si>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</si>
  <si>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</si>
  <si>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</si>
  <si>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</si>
  <si>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</si>
  <si>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</si>
  <si>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</si>
  <si>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</si>
  <si>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</si>
  <si>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</si>
  <si>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</si>
  <si>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</si>
  <si>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</si>
  <si>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</si>
  <si>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</si>
  <si>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</si>
  <si>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</si>
  <si>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</si>
  <si>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</si>
  <si>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</si>
  <si>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</si>
  <si>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</si>
  <si>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</si>
  <si>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</si>
  <si>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</si>
  <si>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</si>
  <si>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</si>
  <si>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</si>
  <si>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</si>
  <si>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</si>
  <si>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</si>
  <si>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</si>
  <si>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</si>
  <si>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</si>
  <si>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</si>
  <si>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</si>
  <si>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</si>
  <si>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</si>
  <si>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</si>
  <si>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</si>
  <si>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</si>
  <si>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</si>
  <si>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</si>
  <si>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</si>
  <si>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</si>
  <si>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</si>
  <si>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</si>
  <si>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</si>
  <si>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</si>
  <si>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</si>
  <si>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</si>
  <si>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</si>
  <si>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</si>
  <si>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</si>
  <si>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</si>
  <si>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</si>
  <si>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</si>
  <si>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</si>
  <si>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</si>
  <si>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</si>
  <si>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</si>
  <si>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</si>
  <si>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</si>
  <si>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</si>
  <si>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</si>
  <si>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</si>
  <si>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</si>
  <si>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</si>
  <si>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</si>
  <si>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</si>
  <si>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</si>
  <si>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</si>
  <si>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</si>
  <si>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</si>
  <si>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</si>
  <si>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</si>
  <si>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</si>
  <si>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</si>
  <si>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</si>
  <si>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</si>
  <si>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</si>
  <si>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</si>
  <si>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</si>
  <si>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</si>
  <si>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</si>
  <si>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</si>
  <si>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</si>
  <si>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</si>
  <si>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</si>
  <si>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</si>
  <si>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</si>
  <si>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</si>
  <si>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</si>
  <si>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</si>
  <si>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</si>
  <si>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</si>
  <si>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</si>
  <si>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</si>
  <si>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</si>
  <si>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</si>
  <si>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</si>
  <si>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</si>
  <si>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</si>
  <si>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</si>
  <si>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</si>
  <si>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</si>
  <si>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</si>
  <si>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</si>
  <si>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</si>
  <si>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</si>
  <si>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</si>
  <si>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</si>
  <si>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</si>
  <si>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</si>
  <si>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</si>
  <si>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</si>
  <si>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</si>
  <si>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</si>
  <si>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</si>
  <si>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</si>
  <si>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</si>
  <si>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</si>
  <si>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</si>
  <si>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</si>
  <si>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</si>
  <si>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</si>
  <si>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</si>
  <si>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</si>
  <si>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</si>
  <si>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</si>
  <si>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</si>
  <si>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</si>
  <si>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</si>
  <si>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</si>
  <si>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</si>
  <si>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</si>
  <si>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</si>
  <si>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</si>
  <si>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</si>
  <si>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</si>
  <si>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</si>
  <si>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</si>
  <si>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</si>
  <si>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</si>
  <si>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</si>
  <si>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</si>
  <si>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</si>
  <si>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</si>
  <si>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</si>
  <si>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</si>
  <si>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</si>
  <si>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</si>
  <si>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</si>
  <si>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</si>
  <si>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</si>
  <si>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</si>
  <si>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</si>
  <si>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</si>
  <si>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</si>
  <si>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</si>
  <si>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</si>
  <si>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</si>
  <si>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</si>
  <si>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</si>
  <si>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</si>
  <si>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</si>
  <si>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</si>
  <si>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</si>
  <si>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</si>
  <si>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</si>
  <si>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</si>
  <si>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</si>
  <si>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</si>
  <si>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</si>
  <si>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</si>
  <si>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</si>
  <si>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</si>
  <si>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</si>
  <si>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</si>
  <si>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</si>
  <si>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</si>
  <si>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</si>
  <si>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</si>
  <si>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</si>
  <si>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</si>
  <si>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</si>
  <si>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</si>
  <si>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</si>
  <si>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</si>
  <si>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</si>
  <si>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</si>
  <si>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</si>
  <si>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</si>
  <si>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</si>
  <si>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</si>
  <si>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</si>
  <si>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</si>
  <si>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</si>
  <si>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</si>
  <si>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</si>
  <si>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</si>
  <si>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</si>
  <si>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</si>
  <si>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</si>
  <si>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</si>
  <si>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</si>
  <si>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</si>
  <si>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</si>
  <si>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</si>
  <si>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</si>
  <si>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</si>
  <si>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</si>
  <si>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</si>
  <si>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</si>
  <si>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</si>
  <si>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</si>
  <si>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</si>
  <si>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</si>
  <si>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</si>
  <si>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</si>
  <si>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</si>
  <si>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</si>
  <si>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</si>
  <si>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</si>
  <si>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</si>
  <si>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</si>
  <si>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</si>
  <si>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</si>
  <si>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</si>
  <si>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</si>
  <si>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</si>
  <si>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</si>
  <si>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</si>
  <si>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</si>
  <si>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</si>
  <si>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</si>
  <si>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</si>
  <si>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</si>
  <si>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</si>
  <si>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</si>
  <si>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</si>
  <si>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</si>
  <si>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</si>
  <si>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</si>
  <si>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</si>
  <si>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</si>
  <si>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</si>
  <si>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</si>
  <si>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</si>
  <si>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</si>
  <si>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</si>
  <si>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</si>
  <si>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</si>
  <si>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</si>
  <si>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</si>
  <si>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</si>
  <si>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</si>
  <si>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</si>
  <si>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</si>
  <si>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</si>
  <si>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</si>
  <si>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</si>
  <si>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</si>
  <si>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</si>
  <si>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</si>
  <si>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</si>
  <si>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</si>
  <si>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</si>
  <si>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</si>
  <si>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</si>
  <si>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</si>
  <si>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</si>
  <si>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</si>
  <si>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</si>
  <si>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</si>
  <si>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</si>
  <si>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</si>
  <si>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</si>
  <si>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</si>
  <si>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</si>
  <si>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</si>
  <si>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</si>
  <si>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</si>
  <si>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</si>
  <si>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</si>
  <si>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</si>
  <si>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</si>
  <si>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</si>
  <si>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</si>
  <si>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</si>
  <si>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</si>
  <si>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</si>
  <si>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</si>
  <si>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</si>
  <si>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</si>
  <si>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</si>
  <si>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</si>
  <si>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</si>
  <si>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</si>
  <si>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</si>
  <si>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</si>
  <si>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</si>
  <si>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</si>
  <si>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</si>
  <si>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</si>
  <si>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</si>
  <si>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</si>
  <si>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</si>
  <si>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</si>
  <si>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</si>
  <si>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</si>
  <si>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</si>
  <si>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</si>
  <si>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</si>
  <si>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</si>
  <si>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</si>
  <si>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</si>
  <si>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</si>
  <si>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</si>
  <si>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</si>
  <si>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</si>
  <si>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</si>
  <si>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</si>
  <si>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</si>
  <si>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</si>
  <si>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</si>
  <si>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</si>
  <si>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</si>
  <si>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</si>
  <si>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</si>
  <si>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</si>
  <si>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</si>
  <si>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</si>
  <si>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</si>
  <si>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</si>
  <si>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</si>
  <si>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</si>
  <si>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</si>
  <si>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</si>
  <si>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</si>
  <si>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</si>
  <si>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</si>
  <si>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</si>
  <si>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</si>
  <si>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</si>
  <si>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</si>
  <si>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</si>
  <si>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</si>
  <si>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</si>
  <si>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</si>
  <si>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</si>
  <si>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</si>
  <si>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</si>
  <si>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</si>
  <si>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</si>
  <si>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</si>
  <si>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</si>
  <si>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</si>
  <si>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</si>
  <si>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</si>
  <si>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</si>
  <si>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</si>
  <si>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</si>
  <si>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</si>
  <si>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</si>
  <si>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</si>
  <si>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</si>
  <si>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</si>
  <si>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</si>
  <si>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</si>
  <si>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</si>
  <si>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</si>
  <si>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</si>
  <si>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</si>
  <si>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</si>
  <si>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</si>
  <si>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</si>
  <si>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</si>
  <si>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</si>
  <si>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</si>
  <si>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</si>
  <si>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</si>
  <si>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</si>
  <si>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</si>
  <si>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</si>
  <si>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</si>
  <si>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</si>
  <si>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</si>
  <si>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</si>
  <si>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</si>
  <si>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</si>
  <si>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</si>
  <si>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</si>
  <si>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</si>
  <si>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</si>
  <si>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</si>
  <si>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</si>
  <si>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</si>
  <si>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</si>
  <si>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</si>
  <si>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</si>
  <si>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</si>
  <si>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</si>
  <si>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</si>
  <si>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</si>
  <si>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</si>
  <si>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</si>
  <si>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</si>
  <si>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</si>
  <si>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</si>
  <si>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</si>
  <si>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</si>
  <si>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</si>
  <si>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</si>
  <si>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</si>
  <si>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</si>
  <si>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</si>
  <si>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</si>
  <si>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</si>
  <si>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</si>
  <si>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</si>
  <si>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</si>
  <si>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</si>
  <si>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</si>
  <si>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</si>
  <si>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</si>
  <si>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</si>
  <si>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</si>
  <si>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</si>
  <si>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</si>
  <si>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</si>
  <si>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</si>
  <si>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</si>
  <si>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</si>
  <si>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</si>
  <si>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</si>
  <si>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</si>
  <si>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</si>
  <si>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</si>
  <si>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</si>
  <si>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</si>
  <si>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</si>
  <si>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</si>
  <si>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</si>
  <si>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</si>
  <si>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</si>
  <si>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</si>
  <si>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</si>
  <si>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</si>
  <si>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</si>
  <si>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</si>
  <si>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</si>
  <si>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</si>
  <si>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</si>
  <si>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</si>
  <si>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</si>
  <si>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</si>
  <si>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</si>
  <si>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</si>
  <si>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</si>
  <si>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</si>
  <si>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</si>
  <si>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</si>
  <si>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</si>
  <si>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</si>
  <si>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</si>
  <si>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</si>
  <si>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</si>
  <si>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</si>
  <si>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</si>
  <si>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</si>
  <si>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</si>
  <si>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</si>
  <si>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</si>
  <si>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</si>
  <si>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</si>
  <si>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</si>
  <si>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</si>
  <si>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</si>
  <si>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</si>
  <si>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</si>
  <si>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</si>
  <si>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</si>
  <si>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</si>
  <si>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</si>
  <si>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</si>
  <si>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</si>
  <si>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</si>
  <si>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</si>
  <si>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</si>
  <si>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</si>
  <si>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</si>
  <si>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</si>
  <si>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</si>
  <si>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</si>
  <si>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</si>
  <si>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</si>
  <si>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</si>
  <si>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</si>
  <si>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</si>
  <si>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</si>
  <si>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</si>
  <si>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</si>
  <si>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</si>
  <si>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</si>
  <si>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</si>
  <si>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</si>
  <si>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</si>
  <si>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</si>
  <si>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</si>
  <si>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</si>
  <si>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</si>
  <si>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</si>
  <si>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</si>
  <si>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</si>
  <si>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</si>
  <si>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</si>
  <si>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</si>
  <si>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</si>
  <si>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</si>
  <si>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</si>
  <si>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</si>
  <si>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</si>
  <si>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</si>
  <si>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</si>
  <si>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</si>
  <si>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</si>
  <si>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</si>
  <si>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</si>
  <si>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</si>
  <si>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</si>
  <si>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</si>
  <si>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</si>
  <si>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</si>
  <si>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</si>
  <si>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</si>
  <si>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</si>
  <si>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</si>
  <si>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</si>
  <si>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</si>
  <si>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</si>
  <si>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</si>
  <si>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</si>
  <si>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</si>
  <si>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</si>
  <si>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</si>
  <si>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</si>
  <si>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</si>
  <si>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</si>
  <si>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</si>
  <si>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</si>
  <si>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</si>
  <si>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</si>
  <si>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</si>
  <si>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</si>
  <si>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</si>
  <si>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</si>
  <si>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</si>
  <si>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</si>
  <si>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</si>
  <si>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</si>
  <si>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</si>
  <si>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</si>
  <si>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</si>
  <si>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</si>
  <si>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</si>
  <si>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</si>
  <si>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</si>
  <si>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</si>
  <si>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</si>
  <si>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</si>
  <si>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</si>
  <si>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</si>
  <si>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</si>
  <si>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</si>
  <si>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</si>
  <si>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</si>
  <si>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</si>
  <si>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</si>
  <si>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</si>
  <si>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</si>
  <si>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</si>
  <si>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</si>
  <si>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</si>
  <si>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</si>
  <si>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</si>
  <si>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</si>
  <si>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</si>
  <si>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</si>
  <si>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</si>
  <si>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</si>
  <si>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</si>
  <si>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</si>
  <si>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</si>
  <si>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</si>
  <si>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</si>
  <si>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</si>
  <si>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</si>
  <si>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</si>
  <si>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</si>
  <si>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</si>
  <si>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</si>
  <si>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</si>
  <si>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</si>
  <si>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</si>
  <si>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</si>
  <si>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</si>
  <si>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</si>
  <si>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</si>
  <si>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</si>
  <si>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</si>
  <si>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</si>
  <si>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</si>
  <si>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</si>
  <si>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</si>
  <si>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</si>
  <si>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</si>
  <si>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</si>
  <si>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</si>
  <si>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</si>
  <si>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</si>
  <si>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</si>
  <si>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</si>
  <si>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</si>
  <si>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</si>
  <si>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</si>
  <si>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</si>
  <si>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</si>
  <si>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</si>
  <si>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</si>
  <si>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</si>
  <si>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</si>
  <si>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</si>
  <si>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</si>
  <si>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</si>
  <si>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</si>
  <si>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</si>
  <si>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</si>
  <si>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</si>
  <si>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</si>
  <si>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</si>
  <si>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</si>
  <si>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</si>
  <si>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</si>
  <si>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</si>
  <si>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</si>
  <si>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</si>
  <si>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</si>
  <si>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</si>
  <si>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</si>
  <si>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</si>
  <si>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</si>
  <si>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</si>
  <si>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</si>
  <si>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</si>
  <si>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</si>
  <si>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</si>
  <si>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</si>
  <si>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</si>
  <si>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</si>
  <si>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</si>
  <si>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</si>
  <si>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</si>
  <si>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</si>
  <si>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</si>
  <si>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</si>
  <si>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</si>
  <si>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</si>
  <si>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</si>
  <si>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</si>
  <si>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</si>
  <si>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</si>
  <si>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</si>
  <si>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</si>
  <si>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</si>
  <si>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</si>
  <si>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</si>
  <si>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</si>
  <si>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</si>
  <si>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</si>
  <si>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</si>
  <si>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</si>
  <si>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</si>
  <si>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</si>
  <si>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Claremont</t>
  </si>
  <si>
    <t>08/95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</si>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</sst>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101</v>
      </c>
      <c r="C2" s="21">
        <v>101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-624815+200+106071+200000</f>
        <v>-318544</v>
      </c>
      <c r="G9" s="18"/>
      <c r="H9" s="18">
        <v>54215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186163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789345+19786-1030-18757+17269+1030</f>
        <v>807643</v>
      </c>
      <c r="G12" s="18"/>
      <c r="H12" s="18">
        <v>305474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78962</v>
      </c>
      <c r="G13" s="18">
        <v>82665</v>
      </c>
      <c r="H13" s="18">
        <f>394020</f>
        <v>394020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30339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71746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670146</v>
      </c>
      <c r="G19" s="41">
        <f>SUM(G9:G18)</f>
        <v>82665</v>
      </c>
      <c r="H19" s="41">
        <f>SUM(H9:H18)</f>
        <v>753709</v>
      </c>
      <c r="I19" s="41">
        <f>SUM(I9:I18)</f>
        <v>0</v>
      </c>
      <c r="J19" s="41">
        <f>SUM(J9:J18)</f>
        <v>186163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477889</f>
        <v>477889</v>
      </c>
      <c r="G22" s="18">
        <f>38117</f>
        <v>38117</v>
      </c>
      <c r="H22" s="18">
        <f>620820+1901+31500-14770-23731-16714+2148</f>
        <v>601154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7135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f>2417</f>
        <v>2417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1783</v>
      </c>
      <c r="G29" s="18"/>
      <c r="H29" s="18">
        <f>19+27+22</f>
        <v>68</v>
      </c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501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>
        <f>54215+305474</f>
        <v>359689</v>
      </c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486807</v>
      </c>
      <c r="G32" s="41">
        <f>SUM(G22:G31)</f>
        <v>40534</v>
      </c>
      <c r="H32" s="41">
        <f>SUM(H22:H31)</f>
        <v>961412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30339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71746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42131</v>
      </c>
      <c r="H47" s="18">
        <f>-1923-621367+359689-305474-31500+14770+23731+16714-2148-54215+394020</f>
        <v>-207703</v>
      </c>
      <c r="I47" s="18"/>
      <c r="J47" s="13">
        <f>SUM(I458)</f>
        <v>186163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14847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88500+1030+78962-30339-71746</f>
        <v>66407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183339</v>
      </c>
      <c r="G50" s="41">
        <f>SUM(G35:G49)</f>
        <v>42131</v>
      </c>
      <c r="H50" s="41">
        <f>SUM(H35:H49)</f>
        <v>-207703</v>
      </c>
      <c r="I50" s="41">
        <f>SUM(I35:I49)</f>
        <v>0</v>
      </c>
      <c r="J50" s="41">
        <f>SUM(J35:J49)</f>
        <v>186163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670146</v>
      </c>
      <c r="G51" s="41">
        <f>G50+G32</f>
        <v>82665</v>
      </c>
      <c r="H51" s="41">
        <f>H50+H32</f>
        <v>753709</v>
      </c>
      <c r="I51" s="41">
        <f>I50+I32</f>
        <v>0</v>
      </c>
      <c r="J51" s="41">
        <f>J50+J32</f>
        <v>186163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12047375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12047375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2692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>
        <f>15206+4408</f>
        <v>19614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617489</f>
        <v>617489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f>59937</f>
        <v>59937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f>141450+7109</f>
        <v>148559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828677</v>
      </c>
      <c r="G78" s="45" t="s">
        <v>289</v>
      </c>
      <c r="H78" s="41">
        <f>SUM(H62:H77)</f>
        <v>19614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11424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176411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f>42122</f>
        <v>42122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113688+20-3247</f>
        <v>110461</v>
      </c>
      <c r="G109" s="18"/>
      <c r="H109" s="18">
        <f>82480</f>
        <v>82480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164007</v>
      </c>
      <c r="G110" s="41">
        <f>SUM(G95:G109)</f>
        <v>176411</v>
      </c>
      <c r="H110" s="41">
        <f>SUM(H95:H109)</f>
        <v>82480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13040059</v>
      </c>
      <c r="G111" s="41">
        <f>G59+G110</f>
        <v>176411</v>
      </c>
      <c r="H111" s="41">
        <f>H59+H78+H93+H110</f>
        <v>102094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12482348</f>
        <v>12482348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1873343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10815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14366506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99000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176651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48040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6186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9686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f>5000+3000</f>
        <v>8000</v>
      </c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329877</v>
      </c>
      <c r="G135" s="41">
        <f>SUM(G122:G134)</f>
        <v>9686</v>
      </c>
      <c r="H135" s="41">
        <f>SUM(H122:H134)</f>
        <v>8000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14696383</v>
      </c>
      <c r="G139" s="41">
        <f>G120+SUM(G135:G136)</f>
        <v>9686</v>
      </c>
      <c r="H139" s="41">
        <f>H120+SUM(H135:H138)</f>
        <v>8000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f>25446+2041+23289</f>
        <v>50776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50776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469872+18333+26898+140153</f>
        <v>655256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43163+5964+91555+5865+1268+2400+942+6000+7200+28+672+32308</f>
        <v>197365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39671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f>-9647-13609+36114+23840+13683+9608</f>
        <v>59989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35323+427487</f>
        <v>462810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1583+3992+78221+402433+13860+96750</f>
        <v>596839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f>297731+78962</f>
        <v>376693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31448+3000+191+23071+542+5000+2036+1414+7553+75+16604+33183+3174+34374</f>
        <v>161665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376693</v>
      </c>
      <c r="G161" s="41">
        <f>SUM(G149:G160)</f>
        <v>462810</v>
      </c>
      <c r="H161" s="41">
        <f>SUM(H149:H160)</f>
        <v>1710785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376693</v>
      </c>
      <c r="G168" s="41">
        <f>G146+G161+SUM(G162:G167)</f>
        <v>462810</v>
      </c>
      <c r="H168" s="41">
        <f>H146+H161+SUM(H162:H167)</f>
        <v>1761561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>
        <f>41000+35000+84489</f>
        <v>160489</v>
      </c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160489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f>62588</f>
        <v>62588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62588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62588</v>
      </c>
      <c r="G191" s="41">
        <f>G182+SUM(G187:G190)</f>
        <v>0</v>
      </c>
      <c r="H191" s="41">
        <f>+H182+SUM(H187:H190)</f>
        <v>160489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28175723</v>
      </c>
      <c r="G192" s="47">
        <f>G111+G139+G168+G191</f>
        <v>648907</v>
      </c>
      <c r="H192" s="47">
        <f>H111+H139+H168+H191</f>
        <v>2032144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236789+2351176+97757</f>
        <v>2685722</v>
      </c>
      <c r="G196" s="18">
        <f>19289+1384062+208221</f>
        <v>1611572</v>
      </c>
      <c r="H196" s="18">
        <f>244+55846+57566</f>
        <v>113656</v>
      </c>
      <c r="I196" s="18">
        <f>60968+45978</f>
        <v>106946</v>
      </c>
      <c r="J196" s="18">
        <v>15458</v>
      </c>
      <c r="K196" s="18">
        <v>325</v>
      </c>
      <c r="L196" s="19">
        <f>SUM(F196:K196)</f>
        <v>4533679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1584017+123294</f>
        <v>1707311</v>
      </c>
      <c r="G197" s="18">
        <f>65305+565320</f>
        <v>630625</v>
      </c>
      <c r="H197" s="18">
        <f>590176+100756</f>
        <v>690932</v>
      </c>
      <c r="I197" s="18">
        <f>5193+6100</f>
        <v>11293</v>
      </c>
      <c r="J197" s="18">
        <f>2065+995</f>
        <v>3060</v>
      </c>
      <c r="K197" s="18"/>
      <c r="L197" s="19">
        <f>SUM(F197:K197)</f>
        <v>3043221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327872+124350</f>
        <v>452222</v>
      </c>
      <c r="G201" s="18">
        <f>74901+131294</f>
        <v>206195</v>
      </c>
      <c r="H201" s="18">
        <f>37936+2208</f>
        <v>40144</v>
      </c>
      <c r="I201" s="18">
        <f>2699</f>
        <v>2699</v>
      </c>
      <c r="J201" s="18">
        <f>25</f>
        <v>25</v>
      </c>
      <c r="K201" s="18"/>
      <c r="L201" s="19">
        <f t="shared" ref="L201:L207" si="0">SUM(F201:K201)</f>
        <v>701285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105446</f>
        <v>105446</v>
      </c>
      <c r="G202" s="18">
        <v>41139</v>
      </c>
      <c r="H202" s="18">
        <f>45849+21923</f>
        <v>67772</v>
      </c>
      <c r="I202" s="18">
        <f>11935+53</f>
        <v>11988</v>
      </c>
      <c r="J202" s="18">
        <f>8084</f>
        <v>8084</v>
      </c>
      <c r="K202" s="18">
        <f>248</f>
        <v>248</v>
      </c>
      <c r="L202" s="19">
        <f t="shared" si="0"/>
        <v>234677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4387</f>
        <v>4387</v>
      </c>
      <c r="G203" s="18">
        <f>180</f>
        <v>180</v>
      </c>
      <c r="H203" s="18">
        <f>64764+512666+17442</f>
        <v>594872</v>
      </c>
      <c r="I203" s="18">
        <f>4814</f>
        <v>4814</v>
      </c>
      <c r="J203" s="18"/>
      <c r="K203" s="18"/>
      <c r="L203" s="19">
        <f t="shared" si="0"/>
        <v>604253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388336+36674</f>
        <v>425010</v>
      </c>
      <c r="G204" s="18">
        <f>194734+30071</f>
        <v>224805</v>
      </c>
      <c r="H204" s="18">
        <f>9667+1719+428</f>
        <v>11814</v>
      </c>
      <c r="I204" s="18">
        <f>5874+311</f>
        <v>6185</v>
      </c>
      <c r="J204" s="18"/>
      <c r="K204" s="18">
        <f>409</f>
        <v>409</v>
      </c>
      <c r="L204" s="19">
        <f t="shared" si="0"/>
        <v>668223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205136+56691</f>
        <v>261827</v>
      </c>
      <c r="G206" s="18">
        <f>94454+18532</f>
        <v>112986</v>
      </c>
      <c r="H206" s="18">
        <f>17924+83756+24993+2216+13482+31008</f>
        <v>173379</v>
      </c>
      <c r="I206" s="18">
        <f>205325+7140</f>
        <v>212465</v>
      </c>
      <c r="J206" s="18">
        <f>22332</f>
        <v>22332</v>
      </c>
      <c r="K206" s="18"/>
      <c r="L206" s="19">
        <f t="shared" si="0"/>
        <v>782989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f>188734</f>
        <v>188734</v>
      </c>
      <c r="G207" s="18">
        <f>72840</f>
        <v>72840</v>
      </c>
      <c r="H207" s="18">
        <f>5357+2173+61145+5531</f>
        <v>74206</v>
      </c>
      <c r="I207" s="18">
        <f>25792</f>
        <v>25792</v>
      </c>
      <c r="J207" s="18">
        <f>8548</f>
        <v>8548</v>
      </c>
      <c r="K207" s="18">
        <f>151</f>
        <v>151</v>
      </c>
      <c r="L207" s="19">
        <f t="shared" si="0"/>
        <v>370271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5830659</v>
      </c>
      <c r="G210" s="41">
        <f t="shared" si="1"/>
        <v>2900342</v>
      </c>
      <c r="H210" s="41">
        <f t="shared" si="1"/>
        <v>1766775</v>
      </c>
      <c r="I210" s="41">
        <f t="shared" si="1"/>
        <v>382182</v>
      </c>
      <c r="J210" s="41">
        <f t="shared" si="1"/>
        <v>57507</v>
      </c>
      <c r="K210" s="41">
        <f t="shared" si="1"/>
        <v>1133</v>
      </c>
      <c r="L210" s="41">
        <f t="shared" si="1"/>
        <v>10938598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1511433+45525</f>
        <v>1556958</v>
      </c>
      <c r="G214" s="18">
        <f>96967+824873</f>
        <v>921840</v>
      </c>
      <c r="H214" s="18">
        <f>1036+26007+26808</f>
        <v>53851</v>
      </c>
      <c r="I214" s="18">
        <f>21412+51880</f>
        <v>73292</v>
      </c>
      <c r="J214" s="18">
        <f>4050</f>
        <v>4050</v>
      </c>
      <c r="K214" s="18">
        <f>8225</f>
        <v>8225</v>
      </c>
      <c r="L214" s="19">
        <f>SUM(F214:K214)</f>
        <v>2618216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667935+57417</f>
        <v>725352</v>
      </c>
      <c r="G215" s="18">
        <f>30412+280948</f>
        <v>311360</v>
      </c>
      <c r="H215" s="18">
        <f>194229+46921+2841</f>
        <v>243991</v>
      </c>
      <c r="I215" s="18">
        <f>2204+962</f>
        <v>3166</v>
      </c>
      <c r="J215" s="18">
        <v>174</v>
      </c>
      <c r="K215" s="18"/>
      <c r="L215" s="19">
        <f>SUM(F215:K215)</f>
        <v>1284043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f>254717</f>
        <v>254717</v>
      </c>
      <c r="G216" s="18">
        <v>139181</v>
      </c>
      <c r="H216" s="18">
        <f>589</f>
        <v>589</v>
      </c>
      <c r="I216" s="18">
        <f>9820</f>
        <v>9820</v>
      </c>
      <c r="J216" s="18"/>
      <c r="K216" s="18"/>
      <c r="L216" s="19">
        <f>SUM(F216:K216)</f>
        <v>404307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50088</f>
        <v>50088</v>
      </c>
      <c r="G217" s="18">
        <f>6277</f>
        <v>6277</v>
      </c>
      <c r="H217" s="18">
        <f>7025</f>
        <v>7025</v>
      </c>
      <c r="I217" s="18">
        <f>3948</f>
        <v>3948</v>
      </c>
      <c r="J217" s="18"/>
      <c r="K217" s="18"/>
      <c r="L217" s="19">
        <f>SUM(F217:K217)</f>
        <v>67338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149344+57909</f>
        <v>207253</v>
      </c>
      <c r="G219" s="18">
        <f>81022+34881</f>
        <v>115903</v>
      </c>
      <c r="H219" s="18">
        <f>17666+1028</f>
        <v>18694</v>
      </c>
      <c r="I219" s="18">
        <f>2960</f>
        <v>2960</v>
      </c>
      <c r="J219" s="18">
        <f>255</f>
        <v>255</v>
      </c>
      <c r="K219" s="18"/>
      <c r="L219" s="19">
        <f t="shared" ref="L219:L225" si="2">SUM(F219:K219)</f>
        <v>345065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49619</f>
        <v>49619</v>
      </c>
      <c r="G220" s="18">
        <f>27107</f>
        <v>27107</v>
      </c>
      <c r="H220" s="18">
        <f>77+21352+10209</f>
        <v>31638</v>
      </c>
      <c r="I220" s="18">
        <f>6927+25</f>
        <v>6952</v>
      </c>
      <c r="J220" s="18">
        <f>3765</f>
        <v>3765</v>
      </c>
      <c r="K220" s="18"/>
      <c r="L220" s="19">
        <f t="shared" si="2"/>
        <v>119081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2043</f>
        <v>2043</v>
      </c>
      <c r="G221" s="18">
        <f>84</f>
        <v>84</v>
      </c>
      <c r="H221" s="18">
        <f>30160+238744+8123</f>
        <v>277027</v>
      </c>
      <c r="I221" s="18">
        <f>2242</f>
        <v>2242</v>
      </c>
      <c r="J221" s="18"/>
      <c r="K221" s="18"/>
      <c r="L221" s="19">
        <f t="shared" si="2"/>
        <v>281396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212796+17079</f>
        <v>229875</v>
      </c>
      <c r="G222" s="18">
        <f>83611+14004</f>
        <v>97615</v>
      </c>
      <c r="H222" s="18">
        <f>8436+5100+800+199</f>
        <v>14535</v>
      </c>
      <c r="I222" s="18">
        <f>2041+145</f>
        <v>2186</v>
      </c>
      <c r="J222" s="18">
        <f>658</f>
        <v>658</v>
      </c>
      <c r="K222" s="18"/>
      <c r="L222" s="19">
        <f t="shared" si="2"/>
        <v>344869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119853+32846</f>
        <v>152699</v>
      </c>
      <c r="G224" s="18">
        <f>58487+10737</f>
        <v>69224</v>
      </c>
      <c r="H224" s="18">
        <f>12840+61520+11359+1284+7811+17966</f>
        <v>112780</v>
      </c>
      <c r="I224" s="18">
        <f>129943+4137</f>
        <v>134080</v>
      </c>
      <c r="J224" s="18"/>
      <c r="K224" s="18"/>
      <c r="L224" s="19">
        <f t="shared" si="2"/>
        <v>468783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f>87892</f>
        <v>87892</v>
      </c>
      <c r="G225" s="18">
        <f>33921+388</f>
        <v>34309</v>
      </c>
      <c r="H225" s="18">
        <f>7162+1012+28475+2576</f>
        <v>39225</v>
      </c>
      <c r="I225" s="18">
        <f>12011</f>
        <v>12011</v>
      </c>
      <c r="J225" s="18">
        <f>3981</f>
        <v>3981</v>
      </c>
      <c r="K225" s="18">
        <f>70</f>
        <v>70</v>
      </c>
      <c r="L225" s="19">
        <f t="shared" si="2"/>
        <v>177488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3316496</v>
      </c>
      <c r="G228" s="41">
        <f>SUM(G214:G227)</f>
        <v>1722900</v>
      </c>
      <c r="H228" s="41">
        <f>SUM(H214:H227)</f>
        <v>799355</v>
      </c>
      <c r="I228" s="41">
        <f>SUM(I214:I227)</f>
        <v>250657</v>
      </c>
      <c r="J228" s="41">
        <f>SUM(J214:J227)</f>
        <v>12883</v>
      </c>
      <c r="K228" s="41">
        <f t="shared" si="3"/>
        <v>8295</v>
      </c>
      <c r="L228" s="41">
        <f t="shared" si="3"/>
        <v>6110586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1922663+68287</f>
        <v>1990950</v>
      </c>
      <c r="G232" s="18">
        <f>1045418+145451</f>
        <v>1190869</v>
      </c>
      <c r="H232" s="18">
        <f>4715+8151+293625+39010+40212</f>
        <v>385713</v>
      </c>
      <c r="I232" s="18">
        <f>69207+32117</f>
        <v>101324</v>
      </c>
      <c r="J232" s="18">
        <f>18060</f>
        <v>18060</v>
      </c>
      <c r="K232" s="18">
        <f>16070</f>
        <v>16070</v>
      </c>
      <c r="L232" s="19">
        <f>SUM(F232:K232)</f>
        <v>3702986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611541+86126</f>
        <v>697667</v>
      </c>
      <c r="G233" s="18">
        <f>292344+45618</f>
        <v>337962</v>
      </c>
      <c r="H233" s="18">
        <f>1162898+70382+4261</f>
        <v>1237541</v>
      </c>
      <c r="I233" s="18">
        <f>5638+1443</f>
        <v>7081</v>
      </c>
      <c r="J233" s="18">
        <f>225</f>
        <v>225</v>
      </c>
      <c r="K233" s="18"/>
      <c r="L233" s="19">
        <f>SUM(F233:K233)</f>
        <v>2280476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f>719416</f>
        <v>719416</v>
      </c>
      <c r="G234" s="18">
        <f>387420</f>
        <v>387420</v>
      </c>
      <c r="H234" s="18">
        <f>1170+9066-301</f>
        <v>9935</v>
      </c>
      <c r="I234" s="18">
        <f>48814</f>
        <v>48814</v>
      </c>
      <c r="J234" s="18">
        <f>4171</f>
        <v>4171</v>
      </c>
      <c r="K234" s="18"/>
      <c r="L234" s="19">
        <f>SUM(F234:K234)</f>
        <v>1169756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171654</f>
        <v>171654</v>
      </c>
      <c r="G235" s="18">
        <f>53703</f>
        <v>53703</v>
      </c>
      <c r="H235" s="18">
        <f>68410+6123+543</f>
        <v>75076</v>
      </c>
      <c r="I235" s="18">
        <f>17112</f>
        <v>17112</v>
      </c>
      <c r="J235" s="18">
        <f>12975</f>
        <v>12975</v>
      </c>
      <c r="K235" s="18">
        <f>6853</f>
        <v>6853</v>
      </c>
      <c r="L235" s="19">
        <f>SUM(F235:K235)</f>
        <v>337373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293975+86863</f>
        <v>380838</v>
      </c>
      <c r="G237" s="18">
        <f>118777+52321</f>
        <v>171098</v>
      </c>
      <c r="H237" s="18">
        <f>1048+229+26500+1542</f>
        <v>29319</v>
      </c>
      <c r="I237" s="18">
        <f>3023</f>
        <v>3023</v>
      </c>
      <c r="J237" s="18"/>
      <c r="K237" s="18">
        <f>1942</f>
        <v>1942</v>
      </c>
      <c r="L237" s="19">
        <f t="shared" ref="L237:L243" si="4">SUM(F237:K237)</f>
        <v>586220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65702</f>
        <v>65702</v>
      </c>
      <c r="G238" s="18">
        <f>29678</f>
        <v>29678</v>
      </c>
      <c r="H238" s="18">
        <f>450+630+32027+15314</f>
        <v>48421</v>
      </c>
      <c r="I238" s="18">
        <f>21347+37</f>
        <v>21384</v>
      </c>
      <c r="J238" s="18">
        <f>79+5647</f>
        <v>5726</v>
      </c>
      <c r="K238" s="18"/>
      <c r="L238" s="19">
        <f t="shared" si="4"/>
        <v>170911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3065</f>
        <v>3065</v>
      </c>
      <c r="G239" s="18">
        <f>126</f>
        <v>126</v>
      </c>
      <c r="H239" s="18">
        <f>45240+12184+358116</f>
        <v>415540</v>
      </c>
      <c r="I239" s="18">
        <f>3363</f>
        <v>3363</v>
      </c>
      <c r="J239" s="18"/>
      <c r="K239" s="18"/>
      <c r="L239" s="19">
        <f t="shared" si="4"/>
        <v>422094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443766+25619</f>
        <v>469385</v>
      </c>
      <c r="G240" s="18">
        <f>178112+21006</f>
        <v>199118</v>
      </c>
      <c r="H240" s="18">
        <f>545+16198+1201+299</f>
        <v>18243</v>
      </c>
      <c r="I240" s="18">
        <f>7032+217</f>
        <v>7249</v>
      </c>
      <c r="J240" s="18">
        <f>1480</f>
        <v>1480</v>
      </c>
      <c r="K240" s="18">
        <f>3271</f>
        <v>3271</v>
      </c>
      <c r="L240" s="19">
        <f t="shared" si="4"/>
        <v>698746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235727+92465</f>
        <v>328192</v>
      </c>
      <c r="G242" s="18">
        <f>79987+30226</f>
        <v>110213</v>
      </c>
      <c r="H242" s="18">
        <f>26818+58693+20657+3615+21990+50576</f>
        <v>182349</v>
      </c>
      <c r="I242" s="18">
        <f>264382+11646</f>
        <v>276028</v>
      </c>
      <c r="J242" s="18"/>
      <c r="K242" s="18"/>
      <c r="L242" s="19">
        <f t="shared" si="4"/>
        <v>896782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f>131838</f>
        <v>131838</v>
      </c>
      <c r="G243" s="18">
        <f>2322+50881</f>
        <v>53203</v>
      </c>
      <c r="H243" s="18">
        <f>83224+1518+42712+3863</f>
        <v>131317</v>
      </c>
      <c r="I243" s="18">
        <f>18017</f>
        <v>18017</v>
      </c>
      <c r="J243" s="18">
        <f>5971</f>
        <v>5971</v>
      </c>
      <c r="K243" s="18">
        <f>106</f>
        <v>106</v>
      </c>
      <c r="L243" s="19">
        <f t="shared" si="4"/>
        <v>340452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4958707</v>
      </c>
      <c r="G246" s="41">
        <f t="shared" si="5"/>
        <v>2533390</v>
      </c>
      <c r="H246" s="41">
        <f t="shared" si="5"/>
        <v>2533454</v>
      </c>
      <c r="I246" s="41">
        <f t="shared" si="5"/>
        <v>503395</v>
      </c>
      <c r="J246" s="41">
        <f t="shared" si="5"/>
        <v>48608</v>
      </c>
      <c r="K246" s="41">
        <f t="shared" si="5"/>
        <v>28242</v>
      </c>
      <c r="L246" s="41">
        <f t="shared" si="5"/>
        <v>10605796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14105862</v>
      </c>
      <c r="G256" s="41">
        <f t="shared" si="8"/>
        <v>7156632</v>
      </c>
      <c r="H256" s="41">
        <f t="shared" si="8"/>
        <v>5099584</v>
      </c>
      <c r="I256" s="41">
        <f t="shared" si="8"/>
        <v>1136234</v>
      </c>
      <c r="J256" s="41">
        <f t="shared" si="8"/>
        <v>118998</v>
      </c>
      <c r="K256" s="41">
        <f t="shared" si="8"/>
        <v>37670</v>
      </c>
      <c r="L256" s="41">
        <f t="shared" si="8"/>
        <v>27654980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330000</v>
      </c>
      <c r="L259" s="19">
        <f>SUM(F259:K259)</f>
        <v>330000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82500</v>
      </c>
      <c r="L260" s="19">
        <f>SUM(F260:K260)</f>
        <v>82500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160489</v>
      </c>
      <c r="L263" s="19">
        <f t="shared" ref="L263:L269" si="9">SUM(F263:K263)</f>
        <v>160489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572989</v>
      </c>
      <c r="L269" s="41">
        <f t="shared" si="9"/>
        <v>572989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14105862</v>
      </c>
      <c r="G270" s="42">
        <f t="shared" si="11"/>
        <v>7156632</v>
      </c>
      <c r="H270" s="42">
        <f t="shared" si="11"/>
        <v>5099584</v>
      </c>
      <c r="I270" s="42">
        <f t="shared" si="11"/>
        <v>1136234</v>
      </c>
      <c r="J270" s="42">
        <f t="shared" si="11"/>
        <v>118998</v>
      </c>
      <c r="K270" s="42">
        <f t="shared" si="11"/>
        <v>610659</v>
      </c>
      <c r="L270" s="42">
        <f t="shared" si="11"/>
        <v>28227969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26670+416+2700</f>
        <v>29786</v>
      </c>
      <c r="G275" s="18">
        <f>3577+32+39</f>
        <v>3648</v>
      </c>
      <c r="H275" s="18">
        <f>1862+1527+462</f>
        <v>3851</v>
      </c>
      <c r="I275" s="18">
        <f>471+943+48+696+14280</f>
        <v>16438</v>
      </c>
      <c r="J275" s="18">
        <f>3952+3193</f>
        <v>7145</v>
      </c>
      <c r="K275" s="18"/>
      <c r="L275" s="19">
        <f>SUM(F275:K275)</f>
        <v>60868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327772+164810</f>
        <v>492582</v>
      </c>
      <c r="G276" s="18">
        <f>151945+71385</f>
        <v>223330</v>
      </c>
      <c r="H276" s="18">
        <f>50936+6658+29288</f>
        <v>86882</v>
      </c>
      <c r="I276" s="18">
        <f>45133+3828</f>
        <v>48961</v>
      </c>
      <c r="J276" s="18">
        <f>10043+197+1382+688</f>
        <v>12310</v>
      </c>
      <c r="K276" s="18"/>
      <c r="L276" s="19">
        <f>SUM(F276:K276)</f>
        <v>864065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f>42569</f>
        <v>42569</v>
      </c>
      <c r="G278" s="18">
        <f>7668+478+206+589+2521+3284</f>
        <v>14746</v>
      </c>
      <c r="H278" s="18">
        <f>759+122+1322+1283</f>
        <v>3486</v>
      </c>
      <c r="I278" s="18">
        <f>160</f>
        <v>160</v>
      </c>
      <c r="J278" s="18">
        <f>138</f>
        <v>138</v>
      </c>
      <c r="K278" s="18"/>
      <c r="L278" s="19">
        <f>SUM(F278:K278)</f>
        <v>61099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33850</f>
        <v>33850</v>
      </c>
      <c r="G280" s="18">
        <f>12364</f>
        <v>12364</v>
      </c>
      <c r="H280" s="18">
        <f>38635+3813</f>
        <v>42448</v>
      </c>
      <c r="I280" s="18">
        <f>678+3343</f>
        <v>4021</v>
      </c>
      <c r="J280" s="18"/>
      <c r="K280" s="18"/>
      <c r="L280" s="19">
        <f t="shared" ref="L280:L286" si="12">SUM(F280:K280)</f>
        <v>92683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97816</v>
      </c>
      <c r="G281" s="18">
        <f>35544</f>
        <v>35544</v>
      </c>
      <c r="H281" s="18">
        <f>27392+4010+4223+15600</f>
        <v>51225</v>
      </c>
      <c r="I281" s="18">
        <f>15636</f>
        <v>15636</v>
      </c>
      <c r="J281" s="18">
        <f>2763+933+544</f>
        <v>4240</v>
      </c>
      <c r="K281" s="18"/>
      <c r="L281" s="19">
        <f t="shared" si="12"/>
        <v>204461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f>375+5398</f>
        <v>5773</v>
      </c>
      <c r="L282" s="19">
        <f t="shared" si="12"/>
        <v>5773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>
        <f>615+383</f>
        <v>998</v>
      </c>
      <c r="I283" s="18">
        <f>249</f>
        <v>249</v>
      </c>
      <c r="J283" s="18"/>
      <c r="K283" s="18"/>
      <c r="L283" s="19">
        <f t="shared" si="12"/>
        <v>1247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6163+16711</f>
        <v>22874</v>
      </c>
      <c r="L284" s="19">
        <f t="shared" si="12"/>
        <v>22874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f>2700</f>
        <v>2700</v>
      </c>
      <c r="I285" s="18"/>
      <c r="J285" s="18"/>
      <c r="K285" s="18"/>
      <c r="L285" s="19">
        <f t="shared" si="12"/>
        <v>2700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>
        <v>37000</v>
      </c>
      <c r="K286" s="18"/>
      <c r="L286" s="19">
        <f t="shared" si="12"/>
        <v>37000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8409</v>
      </c>
      <c r="G287" s="18">
        <v>3627</v>
      </c>
      <c r="H287" s="18">
        <f>11351+613</f>
        <v>11964</v>
      </c>
      <c r="I287" s="18">
        <v>14109</v>
      </c>
      <c r="J287" s="18"/>
      <c r="K287" s="18"/>
      <c r="L287" s="19">
        <f>SUM(F287:K287)</f>
        <v>38109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705012</v>
      </c>
      <c r="G289" s="42">
        <f t="shared" si="13"/>
        <v>293259</v>
      </c>
      <c r="H289" s="42">
        <f t="shared" si="13"/>
        <v>203554</v>
      </c>
      <c r="I289" s="42">
        <f t="shared" si="13"/>
        <v>99574</v>
      </c>
      <c r="J289" s="42">
        <f t="shared" si="13"/>
        <v>60833</v>
      </c>
      <c r="K289" s="42">
        <f t="shared" si="13"/>
        <v>28647</v>
      </c>
      <c r="L289" s="41">
        <f t="shared" si="13"/>
        <v>1390879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12420+194</f>
        <v>12614</v>
      </c>
      <c r="G294" s="18">
        <f>1666+15</f>
        <v>1681</v>
      </c>
      <c r="H294" s="18">
        <f>215+711</f>
        <v>926</v>
      </c>
      <c r="I294" s="18">
        <f>6650+324</f>
        <v>6974</v>
      </c>
      <c r="J294" s="18">
        <f>1487+1840</f>
        <v>3327</v>
      </c>
      <c r="K294" s="18"/>
      <c r="L294" s="19">
        <f>SUM(F294:K294)</f>
        <v>25522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76751</f>
        <v>76751</v>
      </c>
      <c r="G295" s="18">
        <f>33244</f>
        <v>33244</v>
      </c>
      <c r="H295" s="18">
        <f>13639+1967</f>
        <v>15606</v>
      </c>
      <c r="I295" s="18">
        <f>1783</f>
        <v>1783</v>
      </c>
      <c r="J295" s="18">
        <f>320</f>
        <v>320</v>
      </c>
      <c r="K295" s="18"/>
      <c r="L295" s="19">
        <f>SUM(F295:K295)</f>
        <v>127704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15764</f>
        <v>15764</v>
      </c>
      <c r="G299" s="18">
        <f>5758</f>
        <v>5758</v>
      </c>
      <c r="H299" s="18">
        <f>17992+1776</f>
        <v>19768</v>
      </c>
      <c r="I299" s="18">
        <f>1557</f>
        <v>1557</v>
      </c>
      <c r="J299" s="18"/>
      <c r="K299" s="18"/>
      <c r="L299" s="19">
        <f t="shared" ref="L299:L305" si="14">SUM(F299:K299)</f>
        <v>42847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>
        <f>253</f>
        <v>253</v>
      </c>
      <c r="K300" s="18"/>
      <c r="L300" s="19">
        <f t="shared" si="14"/>
        <v>253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>
        <f>2514</f>
        <v>2514</v>
      </c>
      <c r="L301" s="19">
        <f t="shared" si="14"/>
        <v>2514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>
        <f>286+178</f>
        <v>464</v>
      </c>
      <c r="I302" s="18">
        <f>116</f>
        <v>116</v>
      </c>
      <c r="J302" s="18"/>
      <c r="K302" s="18"/>
      <c r="L302" s="19">
        <f t="shared" si="14"/>
        <v>580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f>2870</f>
        <v>2870</v>
      </c>
      <c r="L303" s="19">
        <f t="shared" si="14"/>
        <v>2870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3916</v>
      </c>
      <c r="G306" s="18">
        <v>1689</v>
      </c>
      <c r="H306" s="18">
        <f>5286+286</f>
        <v>5572</v>
      </c>
      <c r="I306" s="18">
        <v>6570</v>
      </c>
      <c r="J306" s="18"/>
      <c r="K306" s="18"/>
      <c r="L306" s="19">
        <f>SUM(F306:K306)</f>
        <v>17747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109045</v>
      </c>
      <c r="G308" s="42">
        <f t="shared" si="15"/>
        <v>42372</v>
      </c>
      <c r="H308" s="42">
        <f t="shared" si="15"/>
        <v>42336</v>
      </c>
      <c r="I308" s="42">
        <f t="shared" si="15"/>
        <v>17000</v>
      </c>
      <c r="J308" s="42">
        <f t="shared" si="15"/>
        <v>3900</v>
      </c>
      <c r="K308" s="42">
        <f t="shared" si="15"/>
        <v>5384</v>
      </c>
      <c r="L308" s="41">
        <f t="shared" si="15"/>
        <v>220037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18630+290</f>
        <v>18920</v>
      </c>
      <c r="G313" s="18">
        <f>2499+22</f>
        <v>2521</v>
      </c>
      <c r="H313" s="18">
        <f>1066+323</f>
        <v>1389</v>
      </c>
      <c r="I313" s="18">
        <f>486+9975</f>
        <v>10461</v>
      </c>
      <c r="J313" s="18">
        <f>2760+2231</f>
        <v>4991</v>
      </c>
      <c r="K313" s="18"/>
      <c r="L313" s="19">
        <f>SUM(F313:K313)</f>
        <v>38282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115126</f>
        <v>115126</v>
      </c>
      <c r="G314" s="18">
        <f>49865</f>
        <v>49865</v>
      </c>
      <c r="H314" s="18">
        <f>20459</f>
        <v>20459</v>
      </c>
      <c r="I314" s="18">
        <v>2674</v>
      </c>
      <c r="J314" s="18">
        <v>480</v>
      </c>
      <c r="K314" s="18"/>
      <c r="L314" s="19">
        <f>SUM(F314:K314)</f>
        <v>188604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8364</v>
      </c>
      <c r="G315" s="18">
        <v>1329</v>
      </c>
      <c r="H315" s="18">
        <f>2880+2750</f>
        <v>5630</v>
      </c>
      <c r="I315" s="18">
        <f>14965</f>
        <v>14965</v>
      </c>
      <c r="J315" s="18">
        <f>1985</f>
        <v>1985</v>
      </c>
      <c r="K315" s="18"/>
      <c r="L315" s="19">
        <f>SUM(F315:K315)</f>
        <v>32273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f>23646</f>
        <v>23646</v>
      </c>
      <c r="G318" s="18">
        <f>8637</f>
        <v>8637</v>
      </c>
      <c r="H318" s="18">
        <f>108+26988+2663</f>
        <v>29759</v>
      </c>
      <c r="I318" s="18">
        <f>292+2335</f>
        <v>2627</v>
      </c>
      <c r="J318" s="18"/>
      <c r="K318" s="18"/>
      <c r="L318" s="19">
        <f t="shared" ref="L318:L324" si="16">SUM(F318:K318)</f>
        <v>64669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>
        <f>1706+143</f>
        <v>1849</v>
      </c>
      <c r="I319" s="18"/>
      <c r="J319" s="18">
        <f>380</f>
        <v>380</v>
      </c>
      <c r="K319" s="18"/>
      <c r="L319" s="19">
        <f t="shared" si="16"/>
        <v>2229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>
        <f>1100+1550</f>
        <v>2650</v>
      </c>
      <c r="I320" s="18">
        <f>278</f>
        <v>278</v>
      </c>
      <c r="J320" s="18"/>
      <c r="K320" s="18">
        <f>3771</f>
        <v>3771</v>
      </c>
      <c r="L320" s="19">
        <f t="shared" si="16"/>
        <v>6699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>
        <f>429+268</f>
        <v>697</v>
      </c>
      <c r="I321" s="18">
        <f>174</f>
        <v>174</v>
      </c>
      <c r="J321" s="18"/>
      <c r="K321" s="18"/>
      <c r="L321" s="19">
        <f t="shared" si="16"/>
        <v>871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f>2086+735+4305</f>
        <v>7126</v>
      </c>
      <c r="L322" s="19">
        <f t="shared" si="16"/>
        <v>7126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v>2000</v>
      </c>
      <c r="I324" s="18"/>
      <c r="J324" s="18"/>
      <c r="K324" s="18"/>
      <c r="L324" s="19">
        <f t="shared" si="16"/>
        <v>2000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f>5874</f>
        <v>5874</v>
      </c>
      <c r="G325" s="18">
        <v>2533</v>
      </c>
      <c r="H325" s="18">
        <f>7929+428</f>
        <v>8357</v>
      </c>
      <c r="I325" s="18">
        <v>9856</v>
      </c>
      <c r="J325" s="18"/>
      <c r="K325" s="18"/>
      <c r="L325" s="19">
        <f>SUM(F325:K325)</f>
        <v>26620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171930</v>
      </c>
      <c r="G327" s="42">
        <f t="shared" si="17"/>
        <v>64885</v>
      </c>
      <c r="H327" s="42">
        <f t="shared" si="17"/>
        <v>72790</v>
      </c>
      <c r="I327" s="42">
        <f t="shared" si="17"/>
        <v>41035</v>
      </c>
      <c r="J327" s="42">
        <f t="shared" si="17"/>
        <v>7836</v>
      </c>
      <c r="K327" s="42">
        <f t="shared" si="17"/>
        <v>10897</v>
      </c>
      <c r="L327" s="41">
        <f t="shared" si="17"/>
        <v>369373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f>55801+2000+22456+11423+3178+6639+13588+7000+7000</f>
        <v>129085</v>
      </c>
      <c r="G332" s="18">
        <f>6535+318+591+343+817+3491+8429+363+162+1350+694+482+399+90+237+387+193+825+965+965+97+102+102+434+434+976+976</f>
        <v>30757</v>
      </c>
      <c r="H332" s="18">
        <f>2349+421+120+500+500+400+100+404+300+699+500</f>
        <v>6293</v>
      </c>
      <c r="I332" s="18">
        <f>2254+2274+64+1102+420</f>
        <v>6114</v>
      </c>
      <c r="J332" s="18">
        <f>395+395</f>
        <v>790</v>
      </c>
      <c r="K332" s="18">
        <f>1210+720</f>
        <v>1930</v>
      </c>
      <c r="L332" s="19">
        <f t="shared" si="18"/>
        <v>174969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f>22716</f>
        <v>22716</v>
      </c>
      <c r="G334" s="18">
        <f>319+1366+63+97+363</f>
        <v>2208</v>
      </c>
      <c r="H334" s="18">
        <f>1000+150+823</f>
        <v>1973</v>
      </c>
      <c r="I334" s="18">
        <f>4076+7049</f>
        <v>11125</v>
      </c>
      <c r="J334" s="18"/>
      <c r="K334" s="18"/>
      <c r="L334" s="19">
        <f t="shared" si="18"/>
        <v>38022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151801</v>
      </c>
      <c r="G336" s="41">
        <f t="shared" si="19"/>
        <v>32965</v>
      </c>
      <c r="H336" s="41">
        <f t="shared" si="19"/>
        <v>8266</v>
      </c>
      <c r="I336" s="41">
        <f t="shared" si="19"/>
        <v>17239</v>
      </c>
      <c r="J336" s="41">
        <f t="shared" si="19"/>
        <v>790</v>
      </c>
      <c r="K336" s="41">
        <f t="shared" si="19"/>
        <v>1930</v>
      </c>
      <c r="L336" s="41">
        <f t="shared" si="18"/>
        <v>212991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1137788</v>
      </c>
      <c r="G337" s="41">
        <f t="shared" si="20"/>
        <v>433481</v>
      </c>
      <c r="H337" s="41">
        <f t="shared" si="20"/>
        <v>326946</v>
      </c>
      <c r="I337" s="41">
        <f t="shared" si="20"/>
        <v>174848</v>
      </c>
      <c r="J337" s="41">
        <f t="shared" si="20"/>
        <v>73359</v>
      </c>
      <c r="K337" s="41">
        <f t="shared" si="20"/>
        <v>46858</v>
      </c>
      <c r="L337" s="41">
        <f t="shared" si="20"/>
        <v>2193280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1137788</v>
      </c>
      <c r="G351" s="41">
        <f>G337</f>
        <v>433481</v>
      </c>
      <c r="H351" s="41">
        <f>H337</f>
        <v>326946</v>
      </c>
      <c r="I351" s="41">
        <f>I337</f>
        <v>174848</v>
      </c>
      <c r="J351" s="41">
        <f>J337</f>
        <v>73359</v>
      </c>
      <c r="K351" s="47">
        <f>K337+K350</f>
        <v>46858</v>
      </c>
      <c r="L351" s="41">
        <f>L337+L350</f>
        <v>2193280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97331</v>
      </c>
      <c r="G357" s="18">
        <f>13659</f>
        <v>13659</v>
      </c>
      <c r="H357" s="18">
        <f>667+8243</f>
        <v>8910</v>
      </c>
      <c r="I357" s="18">
        <f>182144</f>
        <v>182144</v>
      </c>
      <c r="J357" s="18">
        <v>10819</v>
      </c>
      <c r="K357" s="18">
        <f>153</f>
        <v>153</v>
      </c>
      <c r="L357" s="13">
        <f>SUM(F357:K357)</f>
        <v>313016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45326</v>
      </c>
      <c r="G358" s="18">
        <v>6361</v>
      </c>
      <c r="H358" s="18">
        <f>311+3839</f>
        <v>4150</v>
      </c>
      <c r="I358" s="18">
        <v>84823</v>
      </c>
      <c r="J358" s="18">
        <v>5038</v>
      </c>
      <c r="K358" s="18">
        <v>71</v>
      </c>
      <c r="L358" s="19">
        <f>SUM(F358:K358)</f>
        <v>145769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67989</v>
      </c>
      <c r="G359" s="18">
        <v>9542</v>
      </c>
      <c r="H359" s="18">
        <f>466+5758</f>
        <v>6224</v>
      </c>
      <c r="I359" s="18">
        <v>127234</v>
      </c>
      <c r="J359" s="18">
        <v>7557</v>
      </c>
      <c r="K359" s="18">
        <v>107</v>
      </c>
      <c r="L359" s="19">
        <f>SUM(F359:K359)</f>
        <v>218653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210646</v>
      </c>
      <c r="G361" s="47">
        <f t="shared" si="22"/>
        <v>29562</v>
      </c>
      <c r="H361" s="47">
        <f t="shared" si="22"/>
        <v>19284</v>
      </c>
      <c r="I361" s="47">
        <f t="shared" si="22"/>
        <v>394201</v>
      </c>
      <c r="J361" s="47">
        <f t="shared" si="22"/>
        <v>23414</v>
      </c>
      <c r="K361" s="47">
        <f t="shared" si="22"/>
        <v>331</v>
      </c>
      <c r="L361" s="47">
        <f t="shared" si="22"/>
        <v>677438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167428</v>
      </c>
      <c r="G366" s="18">
        <v>77970</v>
      </c>
      <c r="H366" s="18">
        <v>116955</v>
      </c>
      <c r="I366" s="56">
        <f>SUM(F366:H366)</f>
        <v>362353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182144-F366</f>
        <v>14716</v>
      </c>
      <c r="G367" s="63">
        <f>I358-G366</f>
        <v>6853</v>
      </c>
      <c r="H367" s="63">
        <f>I359-H366</f>
        <v>10279</v>
      </c>
      <c r="I367" s="56">
        <f>SUM(F367:H367)</f>
        <v>31848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182144</v>
      </c>
      <c r="G368" s="47">
        <f>SUM(G366:G367)</f>
        <v>84823</v>
      </c>
      <c r="H368" s="47">
        <f>SUM(H366:H367)</f>
        <v>127234</v>
      </c>
      <c r="I368" s="47">
        <f>SUM(I366:I367)</f>
        <v>394201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186163</v>
      </c>
      <c r="G439" s="18"/>
      <c r="H439" s="18"/>
      <c r="I439" s="56">
        <f t="shared" si="33"/>
        <v>186163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186163</v>
      </c>
      <c r="G445" s="13">
        <f>SUM(G438:G444)</f>
        <v>0</v>
      </c>
      <c r="H445" s="13">
        <f>SUM(H438:H444)</f>
        <v>0</v>
      </c>
      <c r="I445" s="13">
        <f>SUM(I438:I444)</f>
        <v>186163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186163</v>
      </c>
      <c r="G458" s="18"/>
      <c r="H458" s="18"/>
      <c r="I458" s="56">
        <f t="shared" si="34"/>
        <v>186163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186163</v>
      </c>
      <c r="G459" s="83">
        <f>SUM(G453:G458)</f>
        <v>0</v>
      </c>
      <c r="H459" s="83">
        <f>SUM(H453:H458)</f>
        <v>0</v>
      </c>
      <c r="I459" s="83">
        <f>SUM(I453:I458)</f>
        <v>186163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186163</v>
      </c>
      <c r="G460" s="42">
        <f>G451+G459</f>
        <v>0</v>
      </c>
      <c r="H460" s="42">
        <f>H451+H459</f>
        <v>0</v>
      </c>
      <c r="I460" s="42">
        <f>I451+I459</f>
        <v>186163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264101</v>
      </c>
      <c r="G464" s="18">
        <v>68174</v>
      </c>
      <c r="H464" s="18">
        <v>-383923</v>
      </c>
      <c r="I464" s="18"/>
      <c r="J464" s="18">
        <v>186163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28175723</v>
      </c>
      <c r="G467" s="18">
        <f>G192</f>
        <v>648907</v>
      </c>
      <c r="H467" s="18">
        <f>H192</f>
        <v>2032144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2488</v>
      </c>
      <c r="H468" s="18">
        <v>337356</v>
      </c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28175723</v>
      </c>
      <c r="G469" s="53">
        <f>SUM(G467:G468)</f>
        <v>651395</v>
      </c>
      <c r="H469" s="53">
        <f>SUM(H467:H468)</f>
        <v>2369500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28227969</v>
      </c>
      <c r="G471" s="18">
        <f>L361</f>
        <v>677438</v>
      </c>
      <c r="H471" s="18">
        <f>L337</f>
        <v>2193280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28516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28256485</v>
      </c>
      <c r="G473" s="53">
        <f>SUM(G471:G472)</f>
        <v>677438</v>
      </c>
      <c r="H473" s="53">
        <f>SUM(H471:H472)</f>
        <v>2193280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183339</v>
      </c>
      <c r="G475" s="53">
        <f>(G464+G469)- G473</f>
        <v>42131</v>
      </c>
      <c r="H475" s="53">
        <f>(H464+H469)- H473</f>
        <v>-207703</v>
      </c>
      <c r="I475" s="53">
        <f>(I464+I469)- I473</f>
        <v>0</v>
      </c>
      <c r="J475" s="53">
        <f>(J464+J469)- J473</f>
        <v>186163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6600000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1650000</v>
      </c>
      <c r="G494" s="18"/>
      <c r="H494" s="18"/>
      <c r="I494" s="18"/>
      <c r="J494" s="18"/>
      <c r="K494" s="53">
        <f>SUM(F494:J494)</f>
        <v>1650000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330000</v>
      </c>
      <c r="G496" s="18"/>
      <c r="H496" s="18"/>
      <c r="I496" s="18"/>
      <c r="J496" s="18"/>
      <c r="K496" s="53">
        <f t="shared" si="35"/>
        <v>330000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1320000</v>
      </c>
      <c r="G497" s="205"/>
      <c r="H497" s="205"/>
      <c r="I497" s="205"/>
      <c r="J497" s="205"/>
      <c r="K497" s="206">
        <f t="shared" si="35"/>
        <v>1320000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230176-82501</f>
        <v>147675</v>
      </c>
      <c r="G498" s="18"/>
      <c r="H498" s="18"/>
      <c r="I498" s="18"/>
      <c r="J498" s="18"/>
      <c r="K498" s="53">
        <f t="shared" si="35"/>
        <v>147675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1467675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1467675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330000</v>
      </c>
      <c r="G500" s="205"/>
      <c r="H500" s="205"/>
      <c r="I500" s="205"/>
      <c r="J500" s="205"/>
      <c r="K500" s="206">
        <f t="shared" si="35"/>
        <v>330000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64350</v>
      </c>
      <c r="G501" s="18"/>
      <c r="H501" s="18"/>
      <c r="I501" s="18"/>
      <c r="J501" s="18"/>
      <c r="K501" s="53">
        <f t="shared" si="35"/>
        <v>64350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394350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394350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</f>
        <v>2199893</v>
      </c>
      <c r="G520" s="18">
        <f>G197+G276</f>
        <v>853955</v>
      </c>
      <c r="H520" s="18">
        <f>H197+H276-H525-H535</f>
        <v>759451</v>
      </c>
      <c r="I520" s="18">
        <f>I197+I276</f>
        <v>60254</v>
      </c>
      <c r="J520" s="18">
        <f>J197+J276</f>
        <v>15370</v>
      </c>
      <c r="K520" s="18">
        <f>K197+K276</f>
        <v>0</v>
      </c>
      <c r="L520" s="88">
        <f>SUM(F520:K520)</f>
        <v>3888923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F215+F295</f>
        <v>802103</v>
      </c>
      <c r="G521" s="18">
        <f>G215+G295</f>
        <v>344604</v>
      </c>
      <c r="H521" s="18">
        <f>H215+H295-H526</f>
        <v>257000</v>
      </c>
      <c r="I521" s="18">
        <f>I215+I295</f>
        <v>4949</v>
      </c>
      <c r="J521" s="18">
        <f>J215+J295</f>
        <v>494</v>
      </c>
      <c r="K521" s="18">
        <f>K215+K295</f>
        <v>0</v>
      </c>
      <c r="L521" s="88">
        <f>SUM(F521:K521)</f>
        <v>1409150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F233+F314</f>
        <v>812793</v>
      </c>
      <c r="G522" s="18">
        <f>G233+G314</f>
        <v>387827</v>
      </c>
      <c r="H522" s="18">
        <f>H233+H314-H527</f>
        <v>1104393</v>
      </c>
      <c r="I522" s="18">
        <f>I233+I314</f>
        <v>9755</v>
      </c>
      <c r="J522" s="18">
        <f>J233+J314</f>
        <v>705</v>
      </c>
      <c r="K522" s="18">
        <f>K233+K314</f>
        <v>0</v>
      </c>
      <c r="L522" s="88">
        <f>SUM(F522:K522)</f>
        <v>2315473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3814789</v>
      </c>
      <c r="G523" s="108">
        <f t="shared" ref="G523:L523" si="36">SUM(G520:G522)</f>
        <v>1586386</v>
      </c>
      <c r="H523" s="108">
        <f t="shared" si="36"/>
        <v>2120844</v>
      </c>
      <c r="I523" s="108">
        <f t="shared" si="36"/>
        <v>74958</v>
      </c>
      <c r="J523" s="108">
        <f t="shared" si="36"/>
        <v>16569</v>
      </c>
      <c r="K523" s="108">
        <f t="shared" si="36"/>
        <v>0</v>
      </c>
      <c r="L523" s="89">
        <f t="shared" si="36"/>
        <v>7613546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8054</v>
      </c>
      <c r="I525" s="18"/>
      <c r="J525" s="18"/>
      <c r="K525" s="18"/>
      <c r="L525" s="88">
        <f>SUM(F525:K525)</f>
        <v>8054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2597</v>
      </c>
      <c r="I526" s="18"/>
      <c r="J526" s="18"/>
      <c r="K526" s="18"/>
      <c r="L526" s="88">
        <f>SUM(F526:K526)</f>
        <v>2597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153607</v>
      </c>
      <c r="I527" s="18"/>
      <c r="J527" s="18"/>
      <c r="K527" s="18"/>
      <c r="L527" s="88">
        <f>SUM(F527:K527)</f>
        <v>153607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164258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164258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43228+37540</f>
        <v>80768</v>
      </c>
      <c r="G530" s="18">
        <f>22718+18398</f>
        <v>41116</v>
      </c>
      <c r="H530" s="18">
        <v>3465</v>
      </c>
      <c r="I530" s="18">
        <v>46</v>
      </c>
      <c r="J530" s="18"/>
      <c r="K530" s="18"/>
      <c r="L530" s="88">
        <f>SUM(F530:K530)</f>
        <v>125395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20131+17482</f>
        <v>37613</v>
      </c>
      <c r="G531" s="18">
        <f>10580+8568</f>
        <v>19148</v>
      </c>
      <c r="H531" s="18">
        <v>1614</v>
      </c>
      <c r="I531" s="18">
        <v>22</v>
      </c>
      <c r="J531" s="18"/>
      <c r="K531" s="18"/>
      <c r="L531" s="88">
        <f>SUM(F531:K531)</f>
        <v>58397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30197+26223</f>
        <v>56420</v>
      </c>
      <c r="G532" s="18">
        <f>15870+12852</f>
        <v>28722</v>
      </c>
      <c r="H532" s="18">
        <v>2421</v>
      </c>
      <c r="I532" s="18">
        <v>32</v>
      </c>
      <c r="J532" s="18"/>
      <c r="K532" s="18"/>
      <c r="L532" s="88">
        <f>SUM(F532:K532)</f>
        <v>87595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174801</v>
      </c>
      <c r="G533" s="89">
        <f t="shared" ref="G533:L533" si="38">SUM(G530:G532)</f>
        <v>88986</v>
      </c>
      <c r="H533" s="89">
        <f t="shared" si="38"/>
        <v>7500</v>
      </c>
      <c r="I533" s="89">
        <f t="shared" si="38"/>
        <v>100</v>
      </c>
      <c r="J533" s="89">
        <f t="shared" si="38"/>
        <v>0</v>
      </c>
      <c r="K533" s="89">
        <f t="shared" si="38"/>
        <v>0</v>
      </c>
      <c r="L533" s="89">
        <f t="shared" si="38"/>
        <v>271387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10309</v>
      </c>
      <c r="I535" s="18"/>
      <c r="J535" s="18"/>
      <c r="K535" s="18"/>
      <c r="L535" s="88">
        <f>SUM(F535:K535)</f>
        <v>10309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10309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10309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15440</v>
      </c>
      <c r="G540" s="18">
        <v>5369</v>
      </c>
      <c r="H540" s="18">
        <f>H591-F540-G540</f>
        <v>116625</v>
      </c>
      <c r="I540" s="18"/>
      <c r="J540" s="18"/>
      <c r="K540" s="18"/>
      <c r="L540" s="88">
        <f>SUM(F540:K540)</f>
        <v>137434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7190</v>
      </c>
      <c r="G541" s="18">
        <v>2500</v>
      </c>
      <c r="H541" s="18">
        <f>I591-F541-G541</f>
        <v>39746</v>
      </c>
      <c r="I541" s="18"/>
      <c r="J541" s="18"/>
      <c r="K541" s="18"/>
      <c r="L541" s="88">
        <f>SUM(F541:K541)</f>
        <v>49436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10786</v>
      </c>
      <c r="G542" s="18">
        <v>3751</v>
      </c>
      <c r="H542" s="18">
        <f>J591-F542-G542</f>
        <v>115469</v>
      </c>
      <c r="I542" s="18"/>
      <c r="J542" s="18"/>
      <c r="K542" s="18"/>
      <c r="L542" s="88">
        <f>SUM(F542:K542)</f>
        <v>130006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33416</v>
      </c>
      <c r="G543" s="194">
        <f t="shared" ref="G543:L543" si="40">SUM(G540:G542)</f>
        <v>11620</v>
      </c>
      <c r="H543" s="194">
        <f t="shared" si="40"/>
        <v>271840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316876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4023006</v>
      </c>
      <c r="G544" s="89">
        <f t="shared" ref="G544:L544" si="41">G523+G528+G533+G538+G543</f>
        <v>1686992</v>
      </c>
      <c r="H544" s="89">
        <f t="shared" si="41"/>
        <v>2574751</v>
      </c>
      <c r="I544" s="89">
        <f t="shared" si="41"/>
        <v>75058</v>
      </c>
      <c r="J544" s="89">
        <f t="shared" si="41"/>
        <v>16569</v>
      </c>
      <c r="K544" s="89">
        <f t="shared" si="41"/>
        <v>0</v>
      </c>
      <c r="L544" s="89">
        <f t="shared" si="41"/>
        <v>8376376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3888923</v>
      </c>
      <c r="G548" s="87">
        <f>L525</f>
        <v>8054</v>
      </c>
      <c r="H548" s="87">
        <f>L530</f>
        <v>125395</v>
      </c>
      <c r="I548" s="87">
        <f>L535</f>
        <v>10309</v>
      </c>
      <c r="J548" s="87">
        <f>L540</f>
        <v>137434</v>
      </c>
      <c r="K548" s="87">
        <f>SUM(F548:J548)</f>
        <v>4170115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1409150</v>
      </c>
      <c r="G549" s="87">
        <f>L526</f>
        <v>2597</v>
      </c>
      <c r="H549" s="87">
        <f>L531</f>
        <v>58397</v>
      </c>
      <c r="I549" s="87">
        <f>L536</f>
        <v>0</v>
      </c>
      <c r="J549" s="87">
        <f>L541</f>
        <v>49436</v>
      </c>
      <c r="K549" s="87">
        <f>SUM(F549:J549)</f>
        <v>1519580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2315473</v>
      </c>
      <c r="G550" s="87">
        <f>L527</f>
        <v>153607</v>
      </c>
      <c r="H550" s="87">
        <f>L532</f>
        <v>87595</v>
      </c>
      <c r="I550" s="87">
        <f>L537</f>
        <v>0</v>
      </c>
      <c r="J550" s="87">
        <f>L542</f>
        <v>130006</v>
      </c>
      <c r="K550" s="87">
        <f>SUM(F550:J550)</f>
        <v>2686681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7613546</v>
      </c>
      <c r="G551" s="89">
        <f t="shared" si="42"/>
        <v>164258</v>
      </c>
      <c r="H551" s="89">
        <f t="shared" si="42"/>
        <v>271387</v>
      </c>
      <c r="I551" s="89">
        <f t="shared" si="42"/>
        <v>10309</v>
      </c>
      <c r="J551" s="89">
        <f t="shared" si="42"/>
        <v>316876</v>
      </c>
      <c r="K551" s="89">
        <f t="shared" si="42"/>
        <v>8376376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41613</v>
      </c>
      <c r="G561" s="18">
        <v>31855</v>
      </c>
      <c r="H561" s="18"/>
      <c r="I561" s="18">
        <v>1250</v>
      </c>
      <c r="J561" s="18"/>
      <c r="K561" s="18"/>
      <c r="L561" s="88">
        <f>SUM(F561:K561)</f>
        <v>74718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19379</v>
      </c>
      <c r="G562" s="18">
        <v>14834</v>
      </c>
      <c r="H562" s="18"/>
      <c r="I562" s="18">
        <v>500</v>
      </c>
      <c r="J562" s="18"/>
      <c r="K562" s="18"/>
      <c r="L562" s="88">
        <f>SUM(F562:K562)</f>
        <v>34713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29069</v>
      </c>
      <c r="G563" s="18">
        <v>22252</v>
      </c>
      <c r="H563" s="18"/>
      <c r="I563" s="18">
        <v>950</v>
      </c>
      <c r="J563" s="18"/>
      <c r="K563" s="18"/>
      <c r="L563" s="88">
        <f>SUM(F563:K563)</f>
        <v>52271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90061</v>
      </c>
      <c r="G564" s="89">
        <f t="shared" si="44"/>
        <v>68941</v>
      </c>
      <c r="H564" s="89">
        <f t="shared" si="44"/>
        <v>0</v>
      </c>
      <c r="I564" s="89">
        <f t="shared" si="44"/>
        <v>2700</v>
      </c>
      <c r="J564" s="89">
        <f t="shared" si="44"/>
        <v>0</v>
      </c>
      <c r="K564" s="89">
        <f t="shared" si="44"/>
        <v>0</v>
      </c>
      <c r="L564" s="89">
        <f t="shared" si="44"/>
        <v>161702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90061</v>
      </c>
      <c r="G570" s="89">
        <f t="shared" ref="G570:L570" si="46">G559+G564+G569</f>
        <v>68941</v>
      </c>
      <c r="H570" s="89">
        <f t="shared" si="46"/>
        <v>0</v>
      </c>
      <c r="I570" s="89">
        <f t="shared" si="46"/>
        <v>2700</v>
      </c>
      <c r="J570" s="89">
        <f t="shared" si="46"/>
        <v>0</v>
      </c>
      <c r="K570" s="89">
        <f t="shared" si="46"/>
        <v>0</v>
      </c>
      <c r="L570" s="89">
        <f t="shared" si="46"/>
        <v>161702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91083</v>
      </c>
      <c r="I575" s="87">
        <f t="shared" ref="I575:I586" si="47">SUM(F575:H575)</f>
        <v>91083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37088</v>
      </c>
      <c r="G578" s="18"/>
      <c r="H578" s="18">
        <v>17647</v>
      </c>
      <c r="I578" s="87">
        <f t="shared" si="47"/>
        <v>54735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>
        <f>56200</f>
        <v>56200</v>
      </c>
      <c r="H579" s="18">
        <f>3383</f>
        <v>3383</v>
      </c>
      <c r="I579" s="87">
        <f t="shared" si="47"/>
        <v>59583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336915+91884</f>
        <v>428799</v>
      </c>
      <c r="G581" s="18">
        <f>65726+29960</f>
        <v>95686</v>
      </c>
      <c r="H581" s="18">
        <f>727528+145262</f>
        <v>872790</v>
      </c>
      <c r="I581" s="87">
        <f t="shared" si="47"/>
        <v>1397275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L207-H591-H593-H594</f>
        <v>227481</v>
      </c>
      <c r="I590" s="18">
        <f>L225-I591-I593-I594</f>
        <v>114574</v>
      </c>
      <c r="J590" s="18">
        <f>L243-J591-J593-J594-J592</f>
        <v>78231</v>
      </c>
      <c r="K590" s="104">
        <f t="shared" ref="K590:K596" si="48">SUM(H590:J590)</f>
        <v>420286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20809+116625</f>
        <v>137434</v>
      </c>
      <c r="I591" s="18">
        <f>9691+39745</f>
        <v>49436</v>
      </c>
      <c r="J591" s="18">
        <f>14536+115470</f>
        <v>130006</v>
      </c>
      <c r="K591" s="104">
        <f t="shared" si="48"/>
        <v>316876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48991</v>
      </c>
      <c r="K592" s="104">
        <f t="shared" si="48"/>
        <v>48991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10978</v>
      </c>
      <c r="J593" s="18">
        <v>61532</v>
      </c>
      <c r="K593" s="104">
        <f t="shared" si="48"/>
        <v>72510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2467+1791+1098</f>
        <v>5356</v>
      </c>
      <c r="I594" s="18">
        <v>2500</v>
      </c>
      <c r="J594" s="18">
        <v>21692</v>
      </c>
      <c r="K594" s="104">
        <f t="shared" si="48"/>
        <v>29548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370271</v>
      </c>
      <c r="I597" s="108">
        <f>SUM(I590:I596)</f>
        <v>177488</v>
      </c>
      <c r="J597" s="108">
        <f>SUM(J590:J596)</f>
        <v>340452</v>
      </c>
      <c r="K597" s="108">
        <f>SUM(K590:K596)</f>
        <v>888211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J210+J289+J336</f>
        <v>119130</v>
      </c>
      <c r="I603" s="18">
        <f>J228+J308</f>
        <v>16783</v>
      </c>
      <c r="J603" s="18">
        <f>J246+J327</f>
        <v>56444</v>
      </c>
      <c r="K603" s="104">
        <f>SUM(H603:J603)</f>
        <v>192357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119130</v>
      </c>
      <c r="I604" s="108">
        <f>SUM(I601:I603)</f>
        <v>16783</v>
      </c>
      <c r="J604" s="108">
        <f>SUM(J601:J603)</f>
        <v>56444</v>
      </c>
      <c r="K604" s="108">
        <f>SUM(K601:K603)</f>
        <v>192357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670146</v>
      </c>
      <c r="H616" s="109">
        <f>SUM(F51)</f>
        <v>670146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82665</v>
      </c>
      <c r="H617" s="109">
        <f>SUM(G51)</f>
        <v>82665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753709</v>
      </c>
      <c r="H618" s="109">
        <f>SUM(H51)</f>
        <v>753709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186163</v>
      </c>
      <c r="H620" s="109">
        <f>SUM(J51)</f>
        <v>186163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183339</v>
      </c>
      <c r="H621" s="109">
        <f>F475</f>
        <v>183339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42131</v>
      </c>
      <c r="H622" s="109">
        <f>G475</f>
        <v>42131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-207703</v>
      </c>
      <c r="H623" s="109">
        <f>H475</f>
        <v>-207703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186163</v>
      </c>
      <c r="H625" s="109">
        <f>J475</f>
        <v>186163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28175723</v>
      </c>
      <c r="H626" s="104">
        <f>SUM(F467)</f>
        <v>28175723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648907</v>
      </c>
      <c r="H627" s="104">
        <f>SUM(G467)</f>
        <v>648907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2032144</v>
      </c>
      <c r="H628" s="104">
        <f>SUM(H467)</f>
        <v>2032144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28227969</v>
      </c>
      <c r="H631" s="104">
        <f>SUM(F471)</f>
        <v>28227969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2193280</v>
      </c>
      <c r="H632" s="104">
        <f>SUM(H471)</f>
        <v>2193280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394201</v>
      </c>
      <c r="H633" s="104">
        <f>I368</f>
        <v>394201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677438</v>
      </c>
      <c r="H634" s="104">
        <f>SUM(G471)</f>
        <v>677438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186163</v>
      </c>
      <c r="H638" s="104">
        <f>SUM(F460)</f>
        <v>186163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186163</v>
      </c>
      <c r="H641" s="104">
        <f>SUM(I460)</f>
        <v>186163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888211</v>
      </c>
      <c r="H646" s="104">
        <f>L207+L225+L243</f>
        <v>888211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192357</v>
      </c>
      <c r="H647" s="104">
        <f>(J256+J337)-(J254+J335)</f>
        <v>192357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370271</v>
      </c>
      <c r="H648" s="104">
        <f>H597</f>
        <v>370271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177488</v>
      </c>
      <c r="H649" s="104">
        <f>I597</f>
        <v>177488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340452</v>
      </c>
      <c r="H650" s="104">
        <f>J597</f>
        <v>340452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160489</v>
      </c>
      <c r="H652" s="104">
        <f>K263</f>
        <v>160489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12642493</v>
      </c>
      <c r="G659" s="19">
        <f>(L228+L308+L358)</f>
        <v>6476392</v>
      </c>
      <c r="H659" s="19">
        <f>(L246+L327+L359)</f>
        <v>11193822</v>
      </c>
      <c r="I659" s="19">
        <f>SUM(F659:H659)</f>
        <v>30312707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81512.205657196682</v>
      </c>
      <c r="G660" s="19">
        <f>(L358/IF(SUM(L357:L359)=0,1,SUM(L357:L359))*(SUM(G96:G109)))</f>
        <v>37959.569818935459</v>
      </c>
      <c r="H660" s="19">
        <f>(L359/IF(SUM(L357:L359)=0,1,SUM(L357:L359))*(SUM(G96:G109)))</f>
        <v>56939.224523867866</v>
      </c>
      <c r="I660" s="19">
        <f>SUM(F660:H660)</f>
        <v>176411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361723</v>
      </c>
      <c r="G661" s="19">
        <f>(L225+L305)-(J225+J305)</f>
        <v>173507</v>
      </c>
      <c r="H661" s="19">
        <f>(L243+L324)-(J243+J324)</f>
        <v>336481</v>
      </c>
      <c r="I661" s="19">
        <f>SUM(F661:H661)</f>
        <v>871711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585017</v>
      </c>
      <c r="G662" s="200">
        <f>SUM(G574:G586)+SUM(I601:I603)+L611</f>
        <v>168669</v>
      </c>
      <c r="H662" s="200">
        <f>SUM(H574:H586)+SUM(J601:J603)+L612</f>
        <v>1041347</v>
      </c>
      <c r="I662" s="19">
        <f>SUM(F662:H662)</f>
        <v>1795033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11614240.794342803</v>
      </c>
      <c r="G663" s="19">
        <f>G659-SUM(G660:G662)</f>
        <v>6096256.4301810646</v>
      </c>
      <c r="H663" s="19">
        <f>H659-SUM(H660:H662)</f>
        <v>9759054.7754761316</v>
      </c>
      <c r="I663" s="19">
        <f>I659-SUM(I660:I662)</f>
        <v>27469552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f>337.06+249.04+210.06</f>
        <v>796.16000000000008</v>
      </c>
      <c r="G664" s="249">
        <f>415.35</f>
        <v>415.35</v>
      </c>
      <c r="H664" s="249">
        <f>613.52</f>
        <v>613.52</v>
      </c>
      <c r="I664" s="19">
        <f>SUM(F664:H664)</f>
        <v>1825.0300000000002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14587.82</v>
      </c>
      <c r="G666" s="19">
        <f>ROUND(G663/G664,2)</f>
        <v>14677.4</v>
      </c>
      <c r="H666" s="19">
        <f>ROUND(H663/H664,2)</f>
        <v>15906.66</v>
      </c>
      <c r="I666" s="19">
        <f>ROUND(I663/I664,2)</f>
        <v>15051.56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-7.13</v>
      </c>
      <c r="I669" s="19">
        <f>SUM(F669:H669)</f>
        <v>-7.13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14587.82</v>
      </c>
      <c r="G671" s="19">
        <f>ROUND((G663+G668)/(G664+G669),2)</f>
        <v>14677.4</v>
      </c>
      <c r="H671" s="19">
        <f>ROUND((H663+H668)/(H664+H669),2)</f>
        <v>16093.69</v>
      </c>
      <c r="I671" s="19">
        <f>ROUND((I663+I668)/(I664+I669),2)</f>
        <v>15110.6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" workbookViewId="0">
      <selection activeCell="C20" sqref="C2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Claremont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6294950</v>
      </c>
      <c r="C9" s="230">
        <f>'DOE25'!G196+'DOE25'!G214+'DOE25'!G232+'DOE25'!G275+'DOE25'!G294+'DOE25'!G313</f>
        <v>3732131</v>
      </c>
    </row>
    <row r="10" spans="1:3">
      <c r="A10" t="s">
        <v>779</v>
      </c>
      <c r="B10" s="241">
        <f>6294950-B11-B12</f>
        <v>5798784</v>
      </c>
      <c r="C10" s="241">
        <f>C9-C11-C12</f>
        <v>3683996</v>
      </c>
    </row>
    <row r="11" spans="1:3">
      <c r="A11" t="s">
        <v>780</v>
      </c>
      <c r="B11" s="241">
        <v>91164</v>
      </c>
      <c r="C11" s="241">
        <v>15410</v>
      </c>
    </row>
    <row r="12" spans="1:3">
      <c r="A12" t="s">
        <v>781</v>
      </c>
      <c r="B12" s="241">
        <f>64455+62112+41647+236788</f>
        <v>405002</v>
      </c>
      <c r="C12" s="241">
        <v>32725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6294950</v>
      </c>
      <c r="C13" s="232">
        <f>SUM(C10:C12)</f>
        <v>3732131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3814789</v>
      </c>
      <c r="C18" s="230">
        <f>'DOE25'!G197+'DOE25'!G215+'DOE25'!G233+'DOE25'!G276+'DOE25'!G295+'DOE25'!G314</f>
        <v>1586386</v>
      </c>
    </row>
    <row r="19" spans="1:3">
      <c r="A19" t="s">
        <v>779</v>
      </c>
      <c r="B19" s="241">
        <f>3814789-B20</f>
        <v>2039325</v>
      </c>
      <c r="C19" s="241">
        <f>C18-C20</f>
        <v>1066411</v>
      </c>
    </row>
    <row r="20" spans="1:3">
      <c r="A20" t="s">
        <v>780</v>
      </c>
      <c r="B20" s="241">
        <v>1775464</v>
      </c>
      <c r="C20" s="241">
        <v>519975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3814789</v>
      </c>
      <c r="C22" s="232">
        <f>SUM(C19:C21)</f>
        <v>1586386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982497</v>
      </c>
      <c r="C27" s="235">
        <f>'DOE25'!G198+'DOE25'!G216+'DOE25'!G234+'DOE25'!G277+'DOE25'!G296+'DOE25'!G315</f>
        <v>527930</v>
      </c>
    </row>
    <row r="28" spans="1:3">
      <c r="A28" t="s">
        <v>779</v>
      </c>
      <c r="B28" s="241">
        <f>982497-B29</f>
        <v>885634</v>
      </c>
      <c r="C28" s="241">
        <f>C27-C29</f>
        <v>475438</v>
      </c>
    </row>
    <row r="29" spans="1:3">
      <c r="A29" t="s">
        <v>780</v>
      </c>
      <c r="B29" s="241">
        <v>96863</v>
      </c>
      <c r="C29" s="241">
        <v>52492</v>
      </c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982497</v>
      </c>
      <c r="C31" s="232">
        <f>SUM(C28:C30)</f>
        <v>527930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264311</v>
      </c>
      <c r="C36" s="236">
        <f>'DOE25'!G199+'DOE25'!G217+'DOE25'!G235+'DOE25'!G278+'DOE25'!G297+'DOE25'!G316</f>
        <v>74726</v>
      </c>
    </row>
    <row r="37" spans="1:3">
      <c r="A37" t="s">
        <v>779</v>
      </c>
      <c r="B37" s="241">
        <v>71745</v>
      </c>
      <c r="C37" s="241">
        <v>30200</v>
      </c>
    </row>
    <row r="38" spans="1:3">
      <c r="A38" t="s">
        <v>780</v>
      </c>
      <c r="B38" s="241">
        <f>42569+20000</f>
        <v>62569</v>
      </c>
      <c r="C38" s="241">
        <f>14746+1620</f>
        <v>16366</v>
      </c>
    </row>
    <row r="39" spans="1:3">
      <c r="A39" t="s">
        <v>781</v>
      </c>
      <c r="B39" s="241">
        <f>B36-B37-B38</f>
        <v>129997</v>
      </c>
      <c r="C39" s="241">
        <f>C36-C37-C38</f>
        <v>28160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264311</v>
      </c>
      <c r="C40" s="232">
        <f>SUM(C37:C39)</f>
        <v>74726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Claremont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19441395</v>
      </c>
      <c r="D5" s="20">
        <f>SUM('DOE25'!L196:L199)+SUM('DOE25'!L214:L217)+SUM('DOE25'!L232:L235)-F5-G5</f>
        <v>19351749</v>
      </c>
      <c r="E5" s="244"/>
      <c r="F5" s="256">
        <f>SUM('DOE25'!J196:J199)+SUM('DOE25'!J214:J217)+SUM('DOE25'!J232:J235)</f>
        <v>58173</v>
      </c>
      <c r="G5" s="53">
        <f>SUM('DOE25'!K196:K199)+SUM('DOE25'!K214:K217)+SUM('DOE25'!K232:K235)</f>
        <v>31473</v>
      </c>
      <c r="H5" s="260"/>
    </row>
    <row r="6" spans="1:9">
      <c r="A6" s="32">
        <v>2100</v>
      </c>
      <c r="B6" t="s">
        <v>801</v>
      </c>
      <c r="C6" s="246">
        <f t="shared" si="0"/>
        <v>1632570</v>
      </c>
      <c r="D6" s="20">
        <f>'DOE25'!L201+'DOE25'!L219+'DOE25'!L237-F6-G6</f>
        <v>1630348</v>
      </c>
      <c r="E6" s="244"/>
      <c r="F6" s="256">
        <f>'DOE25'!J201+'DOE25'!J219+'DOE25'!J237</f>
        <v>280</v>
      </c>
      <c r="G6" s="53">
        <f>'DOE25'!K201+'DOE25'!K219+'DOE25'!K237</f>
        <v>1942</v>
      </c>
      <c r="H6" s="260"/>
    </row>
    <row r="7" spans="1:9">
      <c r="A7" s="32">
        <v>2200</v>
      </c>
      <c r="B7" t="s">
        <v>834</v>
      </c>
      <c r="C7" s="246">
        <f t="shared" si="0"/>
        <v>524669</v>
      </c>
      <c r="D7" s="20">
        <f>'DOE25'!L202+'DOE25'!L220+'DOE25'!L238-F7-G7</f>
        <v>506846</v>
      </c>
      <c r="E7" s="244"/>
      <c r="F7" s="256">
        <f>'DOE25'!J202+'DOE25'!J220+'DOE25'!J238</f>
        <v>17575</v>
      </c>
      <c r="G7" s="53">
        <f>'DOE25'!K202+'DOE25'!K220+'DOE25'!K238</f>
        <v>248</v>
      </c>
      <c r="H7" s="260"/>
    </row>
    <row r="8" spans="1:9">
      <c r="A8" s="32">
        <v>2300</v>
      </c>
      <c r="B8" t="s">
        <v>802</v>
      </c>
      <c r="C8" s="246">
        <f t="shared" si="0"/>
        <v>832216</v>
      </c>
      <c r="D8" s="244"/>
      <c r="E8" s="20">
        <f>'DOE25'!L203+'DOE25'!L221+'DOE25'!L239-F8-G8-D9-D11</f>
        <v>832216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195735</v>
      </c>
      <c r="D9" s="245">
        <f>3000+2300+3570+325+300+74+316+107842+29841+31742+6007+10418</f>
        <v>195735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29842</v>
      </c>
      <c r="D10" s="244"/>
      <c r="E10" s="245">
        <f>29842</f>
        <v>29842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279792</v>
      </c>
      <c r="D11" s="245">
        <v>279792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1711838</v>
      </c>
      <c r="D12" s="20">
        <f>'DOE25'!L204+'DOE25'!L222+'DOE25'!L240-F12-G12</f>
        <v>1706020</v>
      </c>
      <c r="E12" s="244"/>
      <c r="F12" s="256">
        <f>'DOE25'!J204+'DOE25'!J222+'DOE25'!J240</f>
        <v>2138</v>
      </c>
      <c r="G12" s="53">
        <f>'DOE25'!K204+'DOE25'!K222+'DOE25'!K240</f>
        <v>3680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2148554</v>
      </c>
      <c r="D14" s="20">
        <f>'DOE25'!L206+'DOE25'!L224+'DOE25'!L242-F14-G14</f>
        <v>2126222</v>
      </c>
      <c r="E14" s="244"/>
      <c r="F14" s="256">
        <f>'DOE25'!J206+'DOE25'!J224+'DOE25'!J242</f>
        <v>22332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888211</v>
      </c>
      <c r="D15" s="20">
        <f>'DOE25'!L207+'DOE25'!L225+'DOE25'!L243-F15-G15</f>
        <v>869384</v>
      </c>
      <c r="E15" s="244"/>
      <c r="F15" s="256">
        <f>'DOE25'!J207+'DOE25'!J225+'DOE25'!J243</f>
        <v>18500</v>
      </c>
      <c r="G15" s="53">
        <f>'DOE25'!K207+'DOE25'!K225+'DOE25'!K243</f>
        <v>327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412500</v>
      </c>
      <c r="D25" s="244"/>
      <c r="E25" s="244"/>
      <c r="F25" s="259"/>
      <c r="G25" s="257"/>
      <c r="H25" s="258">
        <f>'DOE25'!L259+'DOE25'!L260+'DOE25'!L340+'DOE25'!L341</f>
        <v>412500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315085</v>
      </c>
      <c r="D29" s="20">
        <f>'DOE25'!L357+'DOE25'!L358+'DOE25'!L359-'DOE25'!I366-F29-G29</f>
        <v>291340</v>
      </c>
      <c r="E29" s="244"/>
      <c r="F29" s="256">
        <f>'DOE25'!J357+'DOE25'!J358+'DOE25'!J359</f>
        <v>23414</v>
      </c>
      <c r="G29" s="53">
        <f>'DOE25'!K357+'DOE25'!K358+'DOE25'!K359</f>
        <v>331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2193280</v>
      </c>
      <c r="D31" s="20">
        <f>'DOE25'!L289+'DOE25'!L308+'DOE25'!L327+'DOE25'!L332+'DOE25'!L333+'DOE25'!L334-F31-G31</f>
        <v>2073063</v>
      </c>
      <c r="E31" s="244"/>
      <c r="F31" s="256">
        <f>'DOE25'!J289+'DOE25'!J308+'DOE25'!J327+'DOE25'!J332+'DOE25'!J333+'DOE25'!J334</f>
        <v>73359</v>
      </c>
      <c r="G31" s="53">
        <f>'DOE25'!K289+'DOE25'!K308+'DOE25'!K327+'DOE25'!K332+'DOE25'!K333+'DOE25'!K334</f>
        <v>46858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29030499</v>
      </c>
      <c r="E33" s="247">
        <f>SUM(E5:E31)</f>
        <v>862058</v>
      </c>
      <c r="F33" s="247">
        <f>SUM(F5:F31)</f>
        <v>215771</v>
      </c>
      <c r="G33" s="247">
        <f>SUM(G5:G31)</f>
        <v>84859</v>
      </c>
      <c r="H33" s="247">
        <f>SUM(H5:H31)</f>
        <v>412500</v>
      </c>
    </row>
    <row r="35" spans="2:8" ht="12" thickBot="1">
      <c r="B35" s="254" t="s">
        <v>847</v>
      </c>
      <c r="D35" s="255">
        <f>E33</f>
        <v>862058</v>
      </c>
      <c r="E35" s="250"/>
    </row>
    <row r="36" spans="2:8" ht="12" thickTop="1">
      <c r="B36" t="s">
        <v>815</v>
      </c>
      <c r="D36" s="20">
        <f>D33</f>
        <v>29030499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Claremont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-318544</v>
      </c>
      <c r="D8" s="95">
        <f>'DOE25'!G9</f>
        <v>0</v>
      </c>
      <c r="E8" s="95">
        <f>'DOE25'!H9</f>
        <v>54215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186163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807643</v>
      </c>
      <c r="D11" s="95">
        <f>'DOE25'!G12</f>
        <v>0</v>
      </c>
      <c r="E11" s="95">
        <f>'DOE25'!H12</f>
        <v>305474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78962</v>
      </c>
      <c r="D12" s="95">
        <f>'DOE25'!G13</f>
        <v>82665</v>
      </c>
      <c r="E12" s="95">
        <f>'DOE25'!H13</f>
        <v>394020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30339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71746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670146</v>
      </c>
      <c r="D18" s="41">
        <f>SUM(D8:D17)</f>
        <v>82665</v>
      </c>
      <c r="E18" s="41">
        <f>SUM(E8:E17)</f>
        <v>753709</v>
      </c>
      <c r="F18" s="41">
        <f>SUM(F8:F17)</f>
        <v>0</v>
      </c>
      <c r="G18" s="41">
        <f>SUM(G8:G17)</f>
        <v>186163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477889</v>
      </c>
      <c r="D21" s="95">
        <f>'DOE25'!G22</f>
        <v>38117</v>
      </c>
      <c r="E21" s="95">
        <f>'DOE25'!H22</f>
        <v>601154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7135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2417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1783</v>
      </c>
      <c r="D28" s="95">
        <f>'DOE25'!G29</f>
        <v>0</v>
      </c>
      <c r="E28" s="95">
        <f>'DOE25'!H29</f>
        <v>68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501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359689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486807</v>
      </c>
      <c r="D31" s="41">
        <f>SUM(D21:D30)</f>
        <v>40534</v>
      </c>
      <c r="E31" s="41">
        <f>SUM(E21:E30)</f>
        <v>961412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30339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71746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42131</v>
      </c>
      <c r="E46" s="95">
        <f>'DOE25'!H47</f>
        <v>-207703</v>
      </c>
      <c r="F46" s="95">
        <f>'DOE25'!I47</f>
        <v>0</v>
      </c>
      <c r="G46" s="95">
        <f>'DOE25'!J47</f>
        <v>186163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14847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66407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183339</v>
      </c>
      <c r="D49" s="41">
        <f>SUM(D34:D48)</f>
        <v>42131</v>
      </c>
      <c r="E49" s="41">
        <f>SUM(E34:E48)</f>
        <v>-207703</v>
      </c>
      <c r="F49" s="41">
        <f>SUM(F34:F48)</f>
        <v>0</v>
      </c>
      <c r="G49" s="41">
        <f>SUM(G34:G48)</f>
        <v>186163</v>
      </c>
      <c r="H49" s="124"/>
      <c r="I49" s="124"/>
    </row>
    <row r="50" spans="1:9" ht="12" thickTop="1">
      <c r="A50" s="38" t="s">
        <v>895</v>
      </c>
      <c r="B50" s="2"/>
      <c r="C50" s="41">
        <f>C49+C31</f>
        <v>670146</v>
      </c>
      <c r="D50" s="41">
        <f>D49+D31</f>
        <v>82665</v>
      </c>
      <c r="E50" s="41">
        <f>E49+E31</f>
        <v>753709</v>
      </c>
      <c r="F50" s="41">
        <f>F49+F31</f>
        <v>0</v>
      </c>
      <c r="G50" s="41">
        <f>G49+G31</f>
        <v>186163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12047375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828677</v>
      </c>
      <c r="D56" s="24" t="s">
        <v>289</v>
      </c>
      <c r="E56" s="95">
        <f>'DOE25'!H78</f>
        <v>19614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11424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176411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152583</v>
      </c>
      <c r="D60" s="95">
        <f>SUM('DOE25'!G97:G109)</f>
        <v>0</v>
      </c>
      <c r="E60" s="95">
        <f>SUM('DOE25'!H97:H109)</f>
        <v>82480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992684</v>
      </c>
      <c r="D61" s="130">
        <f>SUM(D56:D60)</f>
        <v>176411</v>
      </c>
      <c r="E61" s="130">
        <f>SUM(E56:E60)</f>
        <v>102094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13040059</v>
      </c>
      <c r="D62" s="22">
        <f>D55+D61</f>
        <v>176411</v>
      </c>
      <c r="E62" s="22">
        <f>E55+E61</f>
        <v>102094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12482348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1873343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10815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14366506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99000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176651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54226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9686</v>
      </c>
      <c r="E76" s="95">
        <f>SUM('DOE25'!H130:H134)</f>
        <v>8000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329877</v>
      </c>
      <c r="D77" s="130">
        <f>SUM(D71:D76)</f>
        <v>9686</v>
      </c>
      <c r="E77" s="130">
        <f>SUM(E71:E76)</f>
        <v>8000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14696383</v>
      </c>
      <c r="D80" s="130">
        <f>SUM(D78:D79)+D77+D69</f>
        <v>9686</v>
      </c>
      <c r="E80" s="130">
        <f>SUM(E78:E79)+E77+E69</f>
        <v>8000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50776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376693</v>
      </c>
      <c r="D87" s="95">
        <f>SUM('DOE25'!G152:G160)</f>
        <v>462810</v>
      </c>
      <c r="E87" s="95">
        <f>SUM('DOE25'!H152:H160)</f>
        <v>1710785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376693</v>
      </c>
      <c r="D90" s="131">
        <f>SUM(D84:D89)</f>
        <v>462810</v>
      </c>
      <c r="E90" s="131">
        <f>SUM(E84:E89)</f>
        <v>1761561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160489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62588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62588</v>
      </c>
      <c r="D102" s="86">
        <f>SUM(D92:D101)</f>
        <v>0</v>
      </c>
      <c r="E102" s="86">
        <f>SUM(E92:E101)</f>
        <v>160489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28175723</v>
      </c>
      <c r="D103" s="86">
        <f>D62+D80+D90+D102</f>
        <v>648907</v>
      </c>
      <c r="E103" s="86">
        <f>E62+E80+E90+E102</f>
        <v>2032144</v>
      </c>
      <c r="F103" s="86">
        <f>F62+F80+F90+F102</f>
        <v>0</v>
      </c>
      <c r="G103" s="86">
        <f>G62+G80+G102</f>
        <v>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10854881</v>
      </c>
      <c r="D108" s="24" t="s">
        <v>289</v>
      </c>
      <c r="E108" s="95">
        <f>('DOE25'!L275)+('DOE25'!L294)+('DOE25'!L313)</f>
        <v>124672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6607740</v>
      </c>
      <c r="D109" s="24" t="s">
        <v>289</v>
      </c>
      <c r="E109" s="95">
        <f>('DOE25'!L276)+('DOE25'!L295)+('DOE25'!L314)</f>
        <v>1180373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1574063</v>
      </c>
      <c r="D110" s="24" t="s">
        <v>289</v>
      </c>
      <c r="E110" s="95">
        <f>('DOE25'!L277)+('DOE25'!L296)+('DOE25'!L315)</f>
        <v>32273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404711</v>
      </c>
      <c r="D111" s="24" t="s">
        <v>289</v>
      </c>
      <c r="E111" s="95">
        <f>+('DOE25'!L278)+('DOE25'!L297)+('DOE25'!L316)</f>
        <v>61099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212991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19441395</v>
      </c>
      <c r="D114" s="86">
        <f>SUM(D108:D113)</f>
        <v>0</v>
      </c>
      <c r="E114" s="86">
        <f>SUM(E108:E113)</f>
        <v>1611408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1632570</v>
      </c>
      <c r="D117" s="24" t="s">
        <v>289</v>
      </c>
      <c r="E117" s="95">
        <f>+('DOE25'!L280)+('DOE25'!L299)+('DOE25'!L318)</f>
        <v>200199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524669</v>
      </c>
      <c r="D118" s="24" t="s">
        <v>289</v>
      </c>
      <c r="E118" s="95">
        <f>+('DOE25'!L281)+('DOE25'!L300)+('DOE25'!L319)</f>
        <v>206943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1307743</v>
      </c>
      <c r="D119" s="24" t="s">
        <v>289</v>
      </c>
      <c r="E119" s="95">
        <f>+('DOE25'!L282)+('DOE25'!L301)+('DOE25'!L320)</f>
        <v>14986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1711838</v>
      </c>
      <c r="D120" s="24" t="s">
        <v>289</v>
      </c>
      <c r="E120" s="95">
        <f>+('DOE25'!L283)+('DOE25'!L302)+('DOE25'!L321)</f>
        <v>2698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32870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2148554</v>
      </c>
      <c r="D122" s="24" t="s">
        <v>289</v>
      </c>
      <c r="E122" s="95">
        <f>+('DOE25'!L285)+('DOE25'!L304)+('DOE25'!L323)</f>
        <v>2700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888211</v>
      </c>
      <c r="D123" s="24" t="s">
        <v>289</v>
      </c>
      <c r="E123" s="95">
        <f>+('DOE25'!L286)+('DOE25'!L305)+('DOE25'!L324)</f>
        <v>39000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82476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677438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8213585</v>
      </c>
      <c r="D127" s="86">
        <f>SUM(D117:D126)</f>
        <v>677438</v>
      </c>
      <c r="E127" s="86">
        <f>SUM(E117:E126)</f>
        <v>581872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330000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82500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160489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572989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28227969</v>
      </c>
      <c r="D144" s="86">
        <f>(D114+D127+D143)</f>
        <v>677438</v>
      </c>
      <c r="E144" s="86">
        <f>(E114+E127+E143)</f>
        <v>2193280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08/95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08/15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6600000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1650000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1650000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330000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330000</v>
      </c>
    </row>
    <row r="158" spans="1:9">
      <c r="A158" s="22" t="s">
        <v>35</v>
      </c>
      <c r="B158" s="137">
        <f>'DOE25'!F497</f>
        <v>1320000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1320000</v>
      </c>
    </row>
    <row r="159" spans="1:9">
      <c r="A159" s="22" t="s">
        <v>36</v>
      </c>
      <c r="B159" s="137">
        <f>'DOE25'!F498</f>
        <v>147675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147675</v>
      </c>
    </row>
    <row r="160" spans="1:9">
      <c r="A160" s="22" t="s">
        <v>37</v>
      </c>
      <c r="B160" s="137">
        <f>'DOE25'!F499</f>
        <v>1467675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1467675</v>
      </c>
    </row>
    <row r="161" spans="1:7">
      <c r="A161" s="22" t="s">
        <v>38</v>
      </c>
      <c r="B161" s="137">
        <f>'DOE25'!F500</f>
        <v>330000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330000</v>
      </c>
    </row>
    <row r="162" spans="1:7">
      <c r="A162" s="22" t="s">
        <v>39</v>
      </c>
      <c r="B162" s="137">
        <f>'DOE25'!F501</f>
        <v>64350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64350</v>
      </c>
    </row>
    <row r="163" spans="1:7">
      <c r="A163" s="22" t="s">
        <v>246</v>
      </c>
      <c r="B163" s="137">
        <f>'DOE25'!F502</f>
        <v>394350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394350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Claremont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14588</v>
      </c>
    </row>
    <row r="5" spans="1:4">
      <c r="B5" t="s">
        <v>704</v>
      </c>
      <c r="C5" s="179">
        <f>IF('DOE25'!G664+'DOE25'!G669=0,0,ROUND('DOE25'!G671,0))</f>
        <v>14677</v>
      </c>
    </row>
    <row r="6" spans="1:4">
      <c r="B6" t="s">
        <v>62</v>
      </c>
      <c r="C6" s="179">
        <f>IF('DOE25'!H664+'DOE25'!H669=0,0,ROUND('DOE25'!H671,0))</f>
        <v>16094</v>
      </c>
    </row>
    <row r="7" spans="1:4">
      <c r="B7" t="s">
        <v>705</v>
      </c>
      <c r="C7" s="179">
        <f>IF('DOE25'!I664+'DOE25'!I669=0,0,ROUND('DOE25'!I671,0))</f>
        <v>15111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10979553</v>
      </c>
      <c r="D10" s="182">
        <f>ROUND((C10/$C$28)*100,1)</f>
        <v>36.1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7788113</v>
      </c>
      <c r="D11" s="182">
        <f>ROUND((C11/$C$28)*100,1)</f>
        <v>25.6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1606336</v>
      </c>
      <c r="D12" s="182">
        <f>ROUND((C12/$C$28)*100,1)</f>
        <v>5.3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465810</v>
      </c>
      <c r="D13" s="182">
        <f>ROUND((C13/$C$28)*100,1)</f>
        <v>1.5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1832769</v>
      </c>
      <c r="D15" s="182">
        <f t="shared" ref="D15:D27" si="0">ROUND((C15/$C$28)*100,1)</f>
        <v>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731612</v>
      </c>
      <c r="D16" s="182">
        <f t="shared" si="0"/>
        <v>2.4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1405205</v>
      </c>
      <c r="D17" s="182">
        <f t="shared" si="0"/>
        <v>4.5999999999999996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1714536</v>
      </c>
      <c r="D18" s="182">
        <f t="shared" si="0"/>
        <v>5.6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32870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2151254</v>
      </c>
      <c r="D20" s="182">
        <f t="shared" si="0"/>
        <v>7.1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927211</v>
      </c>
      <c r="D21" s="182">
        <f t="shared" si="0"/>
        <v>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212991</v>
      </c>
      <c r="D24" s="182">
        <f t="shared" si="0"/>
        <v>0.7</v>
      </c>
    </row>
    <row r="25" spans="1:4">
      <c r="A25">
        <v>5120</v>
      </c>
      <c r="B25" t="s">
        <v>720</v>
      </c>
      <c r="C25" s="179">
        <f>ROUND('DOE25'!L260+'DOE25'!L341,0)</f>
        <v>82500</v>
      </c>
      <c r="D25" s="182">
        <f t="shared" si="0"/>
        <v>0.3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501027</v>
      </c>
      <c r="D27" s="182">
        <f t="shared" si="0"/>
        <v>1.6</v>
      </c>
    </row>
    <row r="28" spans="1:4">
      <c r="B28" s="187" t="s">
        <v>723</v>
      </c>
      <c r="C28" s="180">
        <f>SUM(C10:C27)</f>
        <v>30431787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30431787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330000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12047375</v>
      </c>
      <c r="D35" s="182">
        <f t="shared" ref="D35:D40" si="1">ROUND((C35/$C$41)*100,1)</f>
        <v>39.6</v>
      </c>
    </row>
    <row r="36" spans="1:4">
      <c r="B36" s="185" t="s">
        <v>743</v>
      </c>
      <c r="C36" s="179">
        <f>SUM('DOE25'!F111:J111)-SUM('DOE25'!G96:G109)+('DOE25'!F173+'DOE25'!F174+'DOE25'!I173+'DOE25'!I174)-C35</f>
        <v>1094778</v>
      </c>
      <c r="D36" s="182">
        <f t="shared" si="1"/>
        <v>3.6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14366506</v>
      </c>
      <c r="D37" s="182">
        <f t="shared" si="1"/>
        <v>47.2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347563</v>
      </c>
      <c r="D38" s="182">
        <f t="shared" si="1"/>
        <v>1.1000000000000001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2601064</v>
      </c>
      <c r="D39" s="182">
        <f t="shared" si="1"/>
        <v>8.5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30457286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Claremont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4" t="s">
        <v>848</v>
      </c>
      <c r="B72" s="294"/>
      <c r="C72" s="294"/>
      <c r="D72" s="294"/>
      <c r="E72" s="294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>
      <c r="A74" s="212"/>
      <c r="B74" s="212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>
      <c r="A75" s="212"/>
      <c r="B75" s="212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>
      <c r="A76" s="212"/>
      <c r="B76" s="212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>
      <c r="A77" s="212"/>
      <c r="B77" s="212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>
      <c r="A78" s="212"/>
      <c r="B78" s="212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>
      <c r="A79" s="212"/>
      <c r="B79" s="212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>
      <c r="A80" s="212"/>
      <c r="B80" s="212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>
      <c r="A81" s="212"/>
      <c r="B81" s="212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>
      <c r="A82" s="212"/>
      <c r="B82" s="212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>
      <c r="A83" s="212"/>
      <c r="B83" s="212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>
      <c r="A84" s="212"/>
      <c r="B84" s="212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>
      <c r="A85" s="212"/>
      <c r="B85" s="212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>
      <c r="A86" s="212"/>
      <c r="B86" s="212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>
      <c r="A87" s="212"/>
      <c r="B87" s="212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>
      <c r="A88" s="212"/>
      <c r="B88" s="212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>
      <c r="A89" s="212"/>
      <c r="B89" s="212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>
      <c r="A90" s="212"/>
      <c r="B90" s="212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BF0A" sheet="1" objects="1" scenarios="1"/>
  <mergeCells count="223">
    <mergeCell ref="C70:M70"/>
    <mergeCell ref="C73:M73"/>
    <mergeCell ref="C62:M62"/>
    <mergeCell ref="C63:M63"/>
    <mergeCell ref="C90:M90"/>
    <mergeCell ref="C24:M24"/>
    <mergeCell ref="C87:M87"/>
    <mergeCell ref="C88:M88"/>
    <mergeCell ref="C89:M89"/>
    <mergeCell ref="C81:M81"/>
    <mergeCell ref="C82:M82"/>
    <mergeCell ref="C75:M75"/>
    <mergeCell ref="C76:M76"/>
    <mergeCell ref="C77:M77"/>
    <mergeCell ref="C86:M86"/>
    <mergeCell ref="C74:M74"/>
    <mergeCell ref="C78:M78"/>
    <mergeCell ref="C79:M79"/>
    <mergeCell ref="C80:M80"/>
    <mergeCell ref="C83:M83"/>
    <mergeCell ref="C64:M64"/>
    <mergeCell ref="C65:M65"/>
    <mergeCell ref="C66:M66"/>
    <mergeCell ref="C67:M67"/>
    <mergeCell ref="C84:M84"/>
    <mergeCell ref="C85:M85"/>
    <mergeCell ref="A72:E72"/>
    <mergeCell ref="C29:M29"/>
    <mergeCell ref="C25:M25"/>
    <mergeCell ref="C52:M52"/>
    <mergeCell ref="C50:M50"/>
    <mergeCell ref="C47:M47"/>
    <mergeCell ref="C48:M48"/>
    <mergeCell ref="C68:M68"/>
    <mergeCell ref="C69:M69"/>
    <mergeCell ref="C49:M49"/>
    <mergeCell ref="C51:M51"/>
    <mergeCell ref="C55:M55"/>
    <mergeCell ref="C56:M56"/>
    <mergeCell ref="C57:M57"/>
    <mergeCell ref="C59:M59"/>
    <mergeCell ref="C53:M53"/>
    <mergeCell ref="C54:M54"/>
    <mergeCell ref="C60:M60"/>
    <mergeCell ref="C58:M58"/>
    <mergeCell ref="C27:M27"/>
    <mergeCell ref="C36:M36"/>
    <mergeCell ref="C46:M46"/>
    <mergeCell ref="C26:M26"/>
    <mergeCell ref="C61:M61"/>
    <mergeCell ref="P32:Z32"/>
    <mergeCell ref="C32:M32"/>
    <mergeCell ref="C33:M33"/>
    <mergeCell ref="C37:M37"/>
    <mergeCell ref="C38:M38"/>
    <mergeCell ref="C39:M39"/>
    <mergeCell ref="C34:M34"/>
    <mergeCell ref="A1:I1"/>
    <mergeCell ref="C3:M3"/>
    <mergeCell ref="C4:M4"/>
    <mergeCell ref="F2:I2"/>
    <mergeCell ref="A2:E2"/>
    <mergeCell ref="C28:M28"/>
    <mergeCell ref="C13:M13"/>
    <mergeCell ref="C9:M9"/>
    <mergeCell ref="C10:M10"/>
    <mergeCell ref="C5:M5"/>
    <mergeCell ref="C30:M30"/>
    <mergeCell ref="C31:M31"/>
    <mergeCell ref="P31:Z31"/>
    <mergeCell ref="C16:M16"/>
    <mergeCell ref="C17:M17"/>
    <mergeCell ref="C18:M18"/>
    <mergeCell ref="C19:M19"/>
    <mergeCell ref="AP29:AZ29"/>
    <mergeCell ref="C11:M11"/>
    <mergeCell ref="C12:M12"/>
    <mergeCell ref="P29:Z29"/>
    <mergeCell ref="AC29:AM29"/>
    <mergeCell ref="C20:M20"/>
    <mergeCell ref="C14:M14"/>
    <mergeCell ref="C15:M15"/>
    <mergeCell ref="C6:M6"/>
    <mergeCell ref="C7:M7"/>
    <mergeCell ref="C8:M8"/>
    <mergeCell ref="C21:M21"/>
    <mergeCell ref="C22:M22"/>
    <mergeCell ref="C23:M23"/>
    <mergeCell ref="HP29:HZ29"/>
    <mergeCell ref="IC29:IM29"/>
    <mergeCell ref="EP29:EZ29"/>
    <mergeCell ref="FC29:FM29"/>
    <mergeCell ref="FP29:FZ29"/>
    <mergeCell ref="GC29:GM29"/>
    <mergeCell ref="GP29:GZ29"/>
    <mergeCell ref="HC29:HM29"/>
    <mergeCell ref="C35:M35"/>
    <mergeCell ref="CP29:CZ29"/>
    <mergeCell ref="DC29:DM29"/>
    <mergeCell ref="CC32:CM32"/>
    <mergeCell ref="BC29:BM29"/>
    <mergeCell ref="BP29:BZ29"/>
    <mergeCell ref="CC29:CM29"/>
    <mergeCell ref="DP29:DZ29"/>
    <mergeCell ref="EC29:EM29"/>
    <mergeCell ref="GC30:GM30"/>
    <mergeCell ref="GP30:GZ30"/>
    <mergeCell ref="HC30:HM30"/>
    <mergeCell ref="HP30:HZ30"/>
    <mergeCell ref="FC32:FM32"/>
    <mergeCell ref="HC32:HM32"/>
    <mergeCell ref="EP32:EZ32"/>
    <mergeCell ref="BC38:BM38"/>
    <mergeCell ref="AC32:AM32"/>
    <mergeCell ref="AP32:AZ32"/>
    <mergeCell ref="DP30:DZ30"/>
    <mergeCell ref="EC30:EM30"/>
    <mergeCell ref="DC32:DM32"/>
    <mergeCell ref="DP32:DZ32"/>
    <mergeCell ref="EC32:EM32"/>
    <mergeCell ref="DC38:DM38"/>
    <mergeCell ref="DP38:DZ38"/>
    <mergeCell ref="BP38:BZ38"/>
    <mergeCell ref="CC38:CM38"/>
    <mergeCell ref="CP38:CZ38"/>
    <mergeCell ref="EC38:EM38"/>
    <mergeCell ref="AP31:AZ31"/>
    <mergeCell ref="AC31:AM31"/>
    <mergeCell ref="P38:Z38"/>
    <mergeCell ref="IP29:IV29"/>
    <mergeCell ref="C42:M42"/>
    <mergeCell ref="P30:Z30"/>
    <mergeCell ref="AC30:AM30"/>
    <mergeCell ref="AP30:AZ30"/>
    <mergeCell ref="C41:M41"/>
    <mergeCell ref="CC30:CM30"/>
    <mergeCell ref="CP30:CZ30"/>
    <mergeCell ref="DC30:DM30"/>
    <mergeCell ref="C40:M40"/>
    <mergeCell ref="BC30:BM30"/>
    <mergeCell ref="BP30:BZ30"/>
    <mergeCell ref="P40:Z40"/>
    <mergeCell ref="AC40:AM40"/>
    <mergeCell ref="BP32:BZ32"/>
    <mergeCell ref="AC38:AM38"/>
    <mergeCell ref="AP38:AZ38"/>
    <mergeCell ref="P39:Z39"/>
    <mergeCell ref="AC39:AM39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IP39:IV39"/>
    <mergeCell ref="EP39:EZ39"/>
    <mergeCell ref="FC39:FM39"/>
    <mergeCell ref="FP39:FZ39"/>
    <mergeCell ref="GP39:GZ39"/>
    <mergeCell ref="IC39:IM39"/>
    <mergeCell ref="FC38:FM38"/>
    <mergeCell ref="FP38:FZ38"/>
    <mergeCell ref="FP32:FZ32"/>
    <mergeCell ref="EP38:EZ38"/>
    <mergeCell ref="GC32:GM32"/>
    <mergeCell ref="GC38:GM38"/>
    <mergeCell ref="IP38:IV38"/>
    <mergeCell ref="GP38:GZ38"/>
    <mergeCell ref="HC38:HM38"/>
    <mergeCell ref="HP38:HZ38"/>
    <mergeCell ref="IC38:IM38"/>
    <mergeCell ref="GP32:GZ32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CC39:CM39"/>
    <mergeCell ref="CP39:CZ39"/>
    <mergeCell ref="IC40:IM40"/>
    <mergeCell ref="IP40:IV40"/>
    <mergeCell ref="C45:M45"/>
    <mergeCell ref="FC40:FM40"/>
    <mergeCell ref="FP40:FZ40"/>
    <mergeCell ref="CC40:CM40"/>
    <mergeCell ref="CP40:CZ40"/>
    <mergeCell ref="DC40:DM40"/>
    <mergeCell ref="DP40:DZ40"/>
    <mergeCell ref="HP40:HZ40"/>
    <mergeCell ref="GC40:GM40"/>
    <mergeCell ref="GP40:GZ40"/>
    <mergeCell ref="HC40:HM40"/>
    <mergeCell ref="EC40:EM40"/>
    <mergeCell ref="C44:M44"/>
    <mergeCell ref="C43:M43"/>
    <mergeCell ref="BC40:BM40"/>
    <mergeCell ref="BP40:BZ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2012-08-07T16:01:23Z</cp:lastPrinted>
  <dcterms:created xsi:type="dcterms:W3CDTF">1997-12-04T19:04:30Z</dcterms:created>
  <dcterms:modified xsi:type="dcterms:W3CDTF">2012-11-21T14:21:28Z</dcterms:modified>
</cp:coreProperties>
</file>