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" i="1" l="1"/>
  <c r="F12" i="1"/>
  <c r="H22" i="1"/>
  <c r="H13" i="1"/>
  <c r="H154" i="1"/>
  <c r="H153" i="1"/>
  <c r="H471" i="1"/>
  <c r="H467" i="1"/>
  <c r="F276" i="1"/>
  <c r="F197" i="1"/>
  <c r="F145" i="1"/>
  <c r="B38" i="12"/>
  <c r="B37" i="12"/>
  <c r="F199" i="1"/>
  <c r="G199" i="1"/>
  <c r="F235" i="1"/>
  <c r="G235" i="1"/>
  <c r="B39" i="12"/>
  <c r="B19" i="12"/>
  <c r="B20" i="12"/>
  <c r="B11" i="12"/>
  <c r="D9" i="13"/>
  <c r="H522" i="1"/>
  <c r="G522" i="1"/>
  <c r="F522" i="1"/>
  <c r="I540" i="1"/>
  <c r="H540" i="1"/>
  <c r="G540" i="1"/>
  <c r="K525" i="1"/>
  <c r="J525" i="1"/>
  <c r="I525" i="1"/>
  <c r="H525" i="1"/>
  <c r="G525" i="1"/>
  <c r="F525" i="1"/>
  <c r="G520" i="1"/>
  <c r="I520" i="1"/>
  <c r="H520" i="1"/>
  <c r="F520" i="1"/>
  <c r="H399" i="1"/>
  <c r="H398" i="1"/>
  <c r="J95" i="1"/>
  <c r="J471" i="1"/>
  <c r="J467" i="1"/>
  <c r="G438" i="1"/>
  <c r="G447" i="1"/>
  <c r="G458" i="1"/>
  <c r="H144" i="1"/>
  <c r="H160" i="1"/>
  <c r="F367" i="1"/>
  <c r="I357" i="1"/>
  <c r="H367" i="1"/>
  <c r="K278" i="1" l="1"/>
  <c r="H280" i="1"/>
  <c r="J280" i="1"/>
  <c r="I280" i="1"/>
  <c r="G280" i="1"/>
  <c r="L280" i="1"/>
  <c r="F280" i="1"/>
  <c r="J275" i="1"/>
  <c r="I275" i="1"/>
  <c r="H281" i="1"/>
  <c r="G281" i="1"/>
  <c r="F281" i="1"/>
  <c r="H286" i="1"/>
  <c r="I278" i="1"/>
  <c r="G278" i="1"/>
  <c r="F278" i="1"/>
  <c r="I276" i="1"/>
  <c r="H277" i="1"/>
  <c r="I281" i="1"/>
  <c r="G282" i="1"/>
  <c r="F282" i="1"/>
  <c r="H282" i="1"/>
  <c r="H278" i="1"/>
  <c r="K276" i="1"/>
  <c r="G276" i="1"/>
  <c r="G196" i="1"/>
  <c r="H30" i="1"/>
  <c r="F29" i="1"/>
  <c r="G242" i="1"/>
  <c r="G240" i="1"/>
  <c r="G238" i="1"/>
  <c r="G237" i="1"/>
  <c r="G233" i="1"/>
  <c r="G232" i="1"/>
  <c r="G206" i="1"/>
  <c r="G204" i="1"/>
  <c r="G202" i="1"/>
  <c r="G201" i="1"/>
  <c r="G197" i="1"/>
  <c r="K319" i="1"/>
  <c r="H319" i="1"/>
  <c r="J359" i="1"/>
  <c r="I359" i="1"/>
  <c r="H359" i="1"/>
  <c r="G359" i="1"/>
  <c r="K357" i="1"/>
  <c r="H357" i="1"/>
  <c r="G357" i="1"/>
  <c r="G361" i="1" s="1"/>
  <c r="F357" i="1"/>
  <c r="I243" i="1"/>
  <c r="H243" i="1"/>
  <c r="G243" i="1"/>
  <c r="F243" i="1"/>
  <c r="K242" i="1"/>
  <c r="J242" i="1"/>
  <c r="I242" i="1"/>
  <c r="H242" i="1"/>
  <c r="H232" i="1"/>
  <c r="F242" i="1"/>
  <c r="J240" i="1"/>
  <c r="I240" i="1"/>
  <c r="H240" i="1"/>
  <c r="F240" i="1"/>
  <c r="H239" i="1"/>
  <c r="K239" i="1"/>
  <c r="I239" i="1"/>
  <c r="G239" i="1"/>
  <c r="J238" i="1"/>
  <c r="H238" i="1"/>
  <c r="F238" i="1"/>
  <c r="K238" i="1"/>
  <c r="K237" i="1"/>
  <c r="J237" i="1"/>
  <c r="I237" i="1"/>
  <c r="H237" i="1"/>
  <c r="F237" i="1"/>
  <c r="K235" i="1"/>
  <c r="I235" i="1"/>
  <c r="H235" i="1"/>
  <c r="F233" i="1"/>
  <c r="J233" i="1"/>
  <c r="I233" i="1"/>
  <c r="H233" i="1"/>
  <c r="J232" i="1"/>
  <c r="I232" i="1"/>
  <c r="I246" i="1" s="1"/>
  <c r="F232" i="1"/>
  <c r="L232" i="1" s="1"/>
  <c r="K262" i="1"/>
  <c r="I206" i="1"/>
  <c r="H206" i="1"/>
  <c r="J206" i="1"/>
  <c r="H207" i="1"/>
  <c r="J207" i="1"/>
  <c r="I207" i="1"/>
  <c r="G207" i="1"/>
  <c r="F207" i="1"/>
  <c r="F206" i="1"/>
  <c r="K204" i="1"/>
  <c r="I204" i="1"/>
  <c r="H204" i="1"/>
  <c r="F204" i="1"/>
  <c r="H203" i="1"/>
  <c r="G203" i="1"/>
  <c r="F203" i="1"/>
  <c r="K203" i="1"/>
  <c r="I203" i="1"/>
  <c r="H202" i="1"/>
  <c r="F202" i="1"/>
  <c r="K202" i="1"/>
  <c r="K201" i="1"/>
  <c r="J201" i="1"/>
  <c r="I201" i="1"/>
  <c r="H201" i="1"/>
  <c r="F201" i="1"/>
  <c r="I199" i="1"/>
  <c r="K199" i="1"/>
  <c r="J197" i="1"/>
  <c r="I197" i="1"/>
  <c r="H197" i="1"/>
  <c r="K196" i="1"/>
  <c r="J196" i="1"/>
  <c r="I196" i="1"/>
  <c r="H196" i="1"/>
  <c r="F196" i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C16" i="10" s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F139" i="1" s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H146" i="1"/>
  <c r="H161" i="1"/>
  <c r="I146" i="1"/>
  <c r="I161" i="1"/>
  <c r="C12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28" i="1"/>
  <c r="F660" i="1"/>
  <c r="H660" i="1"/>
  <c r="G661" i="1"/>
  <c r="H661" i="1"/>
  <c r="I668" i="1"/>
  <c r="C5" i="10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G80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E109" i="2"/>
  <c r="C110" i="2"/>
  <c r="E110" i="2"/>
  <c r="E111" i="2"/>
  <c r="C112" i="2"/>
  <c r="E112" i="2"/>
  <c r="C113" i="2"/>
  <c r="E113" i="2"/>
  <c r="D114" i="2"/>
  <c r="F114" i="2"/>
  <c r="G114" i="2"/>
  <c r="C117" i="2"/>
  <c r="C118" i="2"/>
  <c r="E118" i="2"/>
  <c r="E119" i="2"/>
  <c r="E120" i="2"/>
  <c r="C121" i="2"/>
  <c r="E121" i="2"/>
  <c r="E122" i="2"/>
  <c r="E123" i="2"/>
  <c r="C124" i="2"/>
  <c r="E124" i="2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G618" i="1" s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J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I191" i="1" s="1"/>
  <c r="F210" i="1"/>
  <c r="G210" i="1"/>
  <c r="H210" i="1"/>
  <c r="I210" i="1"/>
  <c r="J210" i="1"/>
  <c r="K210" i="1"/>
  <c r="F228" i="1"/>
  <c r="G228" i="1"/>
  <c r="H228" i="1"/>
  <c r="I228" i="1"/>
  <c r="J228" i="1"/>
  <c r="K228" i="1"/>
  <c r="G246" i="1"/>
  <c r="J246" i="1"/>
  <c r="K246" i="1"/>
  <c r="F255" i="1"/>
  <c r="G255" i="1"/>
  <c r="H255" i="1"/>
  <c r="I255" i="1"/>
  <c r="J255" i="1"/>
  <c r="K255" i="1"/>
  <c r="F289" i="1"/>
  <c r="G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J433" i="1" s="1"/>
  <c r="L428" i="1"/>
  <c r="L429" i="1"/>
  <c r="L430" i="1"/>
  <c r="L431" i="1"/>
  <c r="F432" i="1"/>
  <c r="G432" i="1"/>
  <c r="H432" i="1"/>
  <c r="I432" i="1"/>
  <c r="I433" i="1" s="1"/>
  <c r="J432" i="1"/>
  <c r="F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639" i="1" s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K570" i="1" s="1"/>
  <c r="L566" i="1"/>
  <c r="L567" i="1"/>
  <c r="L569" i="1" s="1"/>
  <c r="L568" i="1"/>
  <c r="F569" i="1"/>
  <c r="F570" i="1" s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9" i="1"/>
  <c r="G622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G640" i="1"/>
  <c r="H640" i="1"/>
  <c r="G641" i="1"/>
  <c r="H641" i="1"/>
  <c r="G642" i="1"/>
  <c r="H642" i="1"/>
  <c r="G643" i="1"/>
  <c r="H643" i="1"/>
  <c r="G644" i="1"/>
  <c r="H644" i="1"/>
  <c r="H646" i="1"/>
  <c r="G649" i="1"/>
  <c r="H649" i="1"/>
  <c r="J649" i="1" s="1"/>
  <c r="G650" i="1"/>
  <c r="G651" i="1"/>
  <c r="H651" i="1"/>
  <c r="G652" i="1"/>
  <c r="H652" i="1"/>
  <c r="J652" i="1"/>
  <c r="G653" i="1"/>
  <c r="H653" i="1"/>
  <c r="J653" i="1" s="1"/>
  <c r="H654" i="1"/>
  <c r="F191" i="1"/>
  <c r="K256" i="1"/>
  <c r="C18" i="2"/>
  <c r="F31" i="2"/>
  <c r="C26" i="10"/>
  <c r="L327" i="1"/>
  <c r="L350" i="1"/>
  <c r="A31" i="12"/>
  <c r="C69" i="2"/>
  <c r="A40" i="12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C90" i="2"/>
  <c r="F77" i="2"/>
  <c r="F61" i="2"/>
  <c r="F62" i="2" s="1"/>
  <c r="D31" i="2"/>
  <c r="C77" i="2"/>
  <c r="D49" i="2"/>
  <c r="G156" i="2"/>
  <c r="F49" i="2"/>
  <c r="F50" i="2" s="1"/>
  <c r="F18" i="2"/>
  <c r="G162" i="2"/>
  <c r="G157" i="2"/>
  <c r="E143" i="2"/>
  <c r="E114" i="2"/>
  <c r="G102" i="2"/>
  <c r="E102" i="2"/>
  <c r="C102" i="2"/>
  <c r="D90" i="2"/>
  <c r="F90" i="2"/>
  <c r="E61" i="2"/>
  <c r="E62" i="2" s="1"/>
  <c r="C61" i="2"/>
  <c r="C62" i="2" s="1"/>
  <c r="C31" i="2"/>
  <c r="G61" i="2"/>
  <c r="D29" i="13"/>
  <c r="C29" i="13" s="1"/>
  <c r="D19" i="13"/>
  <c r="C19" i="13" s="1"/>
  <c r="E77" i="2"/>
  <c r="L426" i="1"/>
  <c r="H111" i="1"/>
  <c r="F111" i="1"/>
  <c r="J640" i="1"/>
  <c r="K604" i="1"/>
  <c r="G647" i="1" s="1"/>
  <c r="J570" i="1"/>
  <c r="L432" i="1"/>
  <c r="I168" i="1"/>
  <c r="H168" i="1"/>
  <c r="J642" i="1"/>
  <c r="F475" i="1"/>
  <c r="H621" i="1" s="1"/>
  <c r="I475" i="1"/>
  <c r="H624" i="1" s="1"/>
  <c r="J624" i="1" s="1"/>
  <c r="G475" i="1"/>
  <c r="H622" i="1" s="1"/>
  <c r="J622" i="1" s="1"/>
  <c r="G337" i="1"/>
  <c r="G351" i="1" s="1"/>
  <c r="C23" i="10"/>
  <c r="F168" i="1"/>
  <c r="J139" i="1"/>
  <c r="K597" i="1"/>
  <c r="G646" i="1" s="1"/>
  <c r="C29" i="10"/>
  <c r="H139" i="1"/>
  <c r="L392" i="1"/>
  <c r="C137" i="2" s="1"/>
  <c r="A13" i="12"/>
  <c r="F22" i="13"/>
  <c r="C22" i="13" s="1"/>
  <c r="H25" i="13"/>
  <c r="H33" i="13" s="1"/>
  <c r="H570" i="1"/>
  <c r="J544" i="1"/>
  <c r="F337" i="1"/>
  <c r="F351" i="1" s="1"/>
  <c r="G191" i="1"/>
  <c r="H191" i="1"/>
  <c r="C35" i="10"/>
  <c r="L308" i="1"/>
  <c r="E16" i="13"/>
  <c r="C16" i="13" s="1"/>
  <c r="J654" i="1"/>
  <c r="I570" i="1"/>
  <c r="L564" i="1"/>
  <c r="G544" i="1"/>
  <c r="H544" i="1"/>
  <c r="G659" i="1"/>
  <c r="J644" i="1" l="1"/>
  <c r="J638" i="1"/>
  <c r="G570" i="1"/>
  <c r="L559" i="1"/>
  <c r="L570" i="1" s="1"/>
  <c r="H433" i="1"/>
  <c r="I337" i="1"/>
  <c r="I351" i="1" s="1"/>
  <c r="L269" i="1"/>
  <c r="G168" i="1"/>
  <c r="C32" i="10"/>
  <c r="F31" i="13"/>
  <c r="G62" i="2"/>
  <c r="G103" i="2" s="1"/>
  <c r="G433" i="1"/>
  <c r="L418" i="1"/>
  <c r="J635" i="1"/>
  <c r="L336" i="1"/>
  <c r="L255" i="1"/>
  <c r="G31" i="13"/>
  <c r="L203" i="1"/>
  <c r="L240" i="1"/>
  <c r="C25" i="13"/>
  <c r="F33" i="13"/>
  <c r="E13" i="13"/>
  <c r="C13" i="13" s="1"/>
  <c r="C80" i="2"/>
  <c r="E31" i="2"/>
  <c r="E50" i="2" s="1"/>
  <c r="C49" i="2"/>
  <c r="K544" i="1"/>
  <c r="I544" i="1"/>
  <c r="F544" i="1"/>
  <c r="L523" i="1"/>
  <c r="L544" i="1" s="1"/>
  <c r="L433" i="1"/>
  <c r="G637" i="1" s="1"/>
  <c r="J637" i="1" s="1"/>
  <c r="L400" i="1"/>
  <c r="C138" i="2" s="1"/>
  <c r="C140" i="2" s="1"/>
  <c r="J475" i="1"/>
  <c r="H625" i="1" s="1"/>
  <c r="J639" i="1"/>
  <c r="J641" i="1"/>
  <c r="J643" i="1"/>
  <c r="J650" i="1"/>
  <c r="H192" i="1"/>
  <c r="G628" i="1" s="1"/>
  <c r="J628" i="1" s="1"/>
  <c r="H475" i="1"/>
  <c r="H623" i="1" s="1"/>
  <c r="J192" i="1"/>
  <c r="E117" i="2"/>
  <c r="E127" i="2" s="1"/>
  <c r="E144" i="2" s="1"/>
  <c r="C15" i="10"/>
  <c r="L289" i="1"/>
  <c r="D31" i="13" s="1"/>
  <c r="C31" i="13" s="1"/>
  <c r="H289" i="1"/>
  <c r="H337" i="1" s="1"/>
  <c r="H351" i="1" s="1"/>
  <c r="F661" i="1"/>
  <c r="C13" i="10"/>
  <c r="J651" i="1"/>
  <c r="C39" i="10"/>
  <c r="C103" i="2"/>
  <c r="F192" i="1"/>
  <c r="G626" i="1" s="1"/>
  <c r="J626" i="1" s="1"/>
  <c r="J617" i="1"/>
  <c r="J633" i="1"/>
  <c r="L361" i="1"/>
  <c r="C27" i="10" s="1"/>
  <c r="D126" i="2"/>
  <c r="D127" i="2" s="1"/>
  <c r="D144" i="2" s="1"/>
  <c r="G660" i="1"/>
  <c r="I660" i="1" s="1"/>
  <c r="I661" i="1"/>
  <c r="C18" i="10"/>
  <c r="C120" i="2"/>
  <c r="D12" i="13"/>
  <c r="C12" i="13" s="1"/>
  <c r="F246" i="1"/>
  <c r="F256" i="1" s="1"/>
  <c r="F270" i="1" s="1"/>
  <c r="C111" i="2"/>
  <c r="L233" i="1"/>
  <c r="C109" i="2" s="1"/>
  <c r="H246" i="1"/>
  <c r="J256" i="1"/>
  <c r="J270" i="1" s="1"/>
  <c r="I256" i="1"/>
  <c r="I270" i="1" s="1"/>
  <c r="C10" i="10"/>
  <c r="C108" i="2"/>
  <c r="D5" i="13"/>
  <c r="C5" i="13" s="1"/>
  <c r="G256" i="1"/>
  <c r="G270" i="1" s="1"/>
  <c r="D14" i="13"/>
  <c r="C14" i="13" s="1"/>
  <c r="C122" i="2"/>
  <c r="K270" i="1"/>
  <c r="C130" i="2"/>
  <c r="H256" i="1"/>
  <c r="H270" i="1" s="1"/>
  <c r="J646" i="1"/>
  <c r="G648" i="1"/>
  <c r="J648" i="1" s="1"/>
  <c r="C123" i="2"/>
  <c r="C17" i="10"/>
  <c r="C119" i="2"/>
  <c r="E8" i="13"/>
  <c r="C8" i="13" s="1"/>
  <c r="L210" i="1"/>
  <c r="G159" i="2"/>
  <c r="G158" i="2"/>
  <c r="G155" i="2"/>
  <c r="E90" i="2"/>
  <c r="D80" i="2"/>
  <c r="D102" i="2"/>
  <c r="J616" i="1"/>
  <c r="G22" i="2"/>
  <c r="G31" i="2" s="1"/>
  <c r="J32" i="1"/>
  <c r="G8" i="2"/>
  <c r="G18" i="2" s="1"/>
  <c r="J19" i="1"/>
  <c r="G620" i="1" s="1"/>
  <c r="G630" i="1"/>
  <c r="J630" i="1" s="1"/>
  <c r="G645" i="1"/>
  <c r="J618" i="1"/>
  <c r="G160" i="2"/>
  <c r="I551" i="1"/>
  <c r="G551" i="1"/>
  <c r="K549" i="1"/>
  <c r="J351" i="1"/>
  <c r="H647" i="1"/>
  <c r="J647" i="1" s="1"/>
  <c r="G36" i="2"/>
  <c r="G49" i="2" s="1"/>
  <c r="J50" i="1"/>
  <c r="K548" i="1"/>
  <c r="F551" i="1"/>
  <c r="C38" i="10"/>
  <c r="G192" i="1"/>
  <c r="G627" i="1" s="1"/>
  <c r="J627" i="1" s="1"/>
  <c r="G163" i="2"/>
  <c r="J551" i="1"/>
  <c r="H551" i="1"/>
  <c r="K550" i="1"/>
  <c r="I192" i="1"/>
  <c r="G629" i="1" s="1"/>
  <c r="J629" i="1" s="1"/>
  <c r="C36" i="10"/>
  <c r="L337" i="1"/>
  <c r="L351" i="1" s="1"/>
  <c r="G632" i="1" s="1"/>
  <c r="J632" i="1" s="1"/>
  <c r="L407" i="1"/>
  <c r="C50" i="2"/>
  <c r="D50" i="2"/>
  <c r="G623" i="1"/>
  <c r="J623" i="1" s="1"/>
  <c r="G621" i="1"/>
  <c r="J621" i="1" s="1"/>
  <c r="K502" i="1"/>
  <c r="E80" i="2"/>
  <c r="E103" i="2" s="1"/>
  <c r="A22" i="12"/>
  <c r="D103" i="2"/>
  <c r="F80" i="2"/>
  <c r="F103" i="2" s="1"/>
  <c r="G33" i="13"/>
  <c r="F143" i="2"/>
  <c r="F144" i="2" s="1"/>
  <c r="C127" i="2" l="1"/>
  <c r="C143" i="2"/>
  <c r="G50" i="2"/>
  <c r="C41" i="10"/>
  <c r="D35" i="10" s="1"/>
  <c r="L246" i="1"/>
  <c r="H659" i="1" s="1"/>
  <c r="H663" i="1" s="1"/>
  <c r="H666" i="1" s="1"/>
  <c r="G634" i="1"/>
  <c r="J634" i="1" s="1"/>
  <c r="G663" i="1"/>
  <c r="D33" i="13"/>
  <c r="D36" i="13" s="1"/>
  <c r="L256" i="1"/>
  <c r="L270" i="1" s="1"/>
  <c r="G631" i="1" s="1"/>
  <c r="J631" i="1" s="1"/>
  <c r="C11" i="10"/>
  <c r="C28" i="10" s="1"/>
  <c r="D26" i="10" s="1"/>
  <c r="C114" i="2"/>
  <c r="E33" i="13"/>
  <c r="D35" i="13" s="1"/>
  <c r="F659" i="1"/>
  <c r="J51" i="1"/>
  <c r="H620" i="1" s="1"/>
  <c r="G625" i="1"/>
  <c r="J625" i="1" s="1"/>
  <c r="J620" i="1"/>
  <c r="G636" i="1"/>
  <c r="J636" i="1" s="1"/>
  <c r="H645" i="1"/>
  <c r="J645" i="1" s="1"/>
  <c r="K551" i="1"/>
  <c r="D40" i="10"/>
  <c r="D39" i="10" l="1"/>
  <c r="C144" i="2"/>
  <c r="D36" i="10"/>
  <c r="D38" i="10"/>
  <c r="D37" i="10"/>
  <c r="H671" i="1"/>
  <c r="C6" i="10" s="1"/>
  <c r="G666" i="1"/>
  <c r="G671" i="1"/>
  <c r="D18" i="10"/>
  <c r="D16" i="10"/>
  <c r="D23" i="10"/>
  <c r="D19" i="10"/>
  <c r="D15" i="10"/>
  <c r="D25" i="10"/>
  <c r="D11" i="10"/>
  <c r="D20" i="10"/>
  <c r="D22" i="10"/>
  <c r="D21" i="10"/>
  <c r="D10" i="10"/>
  <c r="C30" i="10"/>
  <c r="D27" i="10"/>
  <c r="D17" i="10"/>
  <c r="D12" i="10"/>
  <c r="D13" i="10"/>
  <c r="D24" i="10"/>
  <c r="I659" i="1"/>
  <c r="I663" i="1" s="1"/>
  <c r="F663" i="1"/>
  <c r="H655" i="1"/>
  <c r="D41" i="10" l="1"/>
  <c r="D28" i="10"/>
  <c r="I666" i="1"/>
  <c r="I671" i="1"/>
  <c r="C7" i="10" s="1"/>
  <c r="F671" i="1"/>
  <c r="C4" i="10" s="1"/>
  <c r="F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<sst xmlns="http://schemas.openxmlformats.org/spreadsheetml/2006/main" count="3943" uniqueCount="910">
  <si>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</si>
  <si>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</si>
  <si>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</si>
  <si>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</si>
  <si>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</si>
  <si>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</si>
  <si>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</si>
  <si>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</si>
  <si>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</si>
  <si>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</si>
  <si>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</si>
  <si>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</si>
  <si>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</si>
  <si>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</si>
  <si>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</si>
  <si>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</si>
  <si>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</si>
  <si>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</si>
  <si>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</si>
  <si>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</si>
  <si>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</si>
  <si>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</si>
  <si>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</si>
  <si>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</si>
  <si>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</si>
  <si>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</si>
  <si>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</si>
  <si>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</si>
  <si>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</si>
  <si>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</si>
  <si>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</si>
  <si>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</si>
  <si>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</si>
  <si>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</si>
  <si>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</si>
  <si>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</si>
  <si>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</si>
  <si>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</si>
  <si>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</si>
  <si>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</si>
  <si>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</si>
  <si>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</si>
  <si>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</si>
  <si>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</si>
  <si>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</si>
  <si>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</si>
  <si>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</si>
  <si>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</si>
  <si>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</si>
  <si>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</si>
  <si>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</si>
  <si>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</si>
  <si>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</si>
  <si>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</si>
  <si>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</si>
  <si>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</si>
  <si>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</si>
  <si>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</si>
  <si>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</si>
  <si>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</si>
  <si>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</si>
  <si>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</si>
  <si>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</si>
  <si>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</si>
  <si>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</si>
  <si>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</si>
  <si>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</si>
  <si>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</si>
  <si>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</si>
  <si>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</si>
  <si>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</si>
  <si>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</si>
  <si>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</si>
  <si>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</si>
  <si>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</si>
  <si>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</si>
  <si>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</si>
  <si>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</si>
  <si>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</si>
  <si>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</si>
  <si>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</si>
  <si>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</si>
  <si>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</si>
  <si>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</si>
  <si>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</si>
  <si>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</si>
  <si>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</si>
  <si>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</si>
  <si>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</si>
  <si>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</si>
  <si>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</si>
  <si>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</si>
  <si>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</si>
  <si>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</si>
  <si>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</si>
  <si>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</si>
  <si>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</si>
  <si>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</si>
  <si>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</si>
  <si>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</si>
  <si>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</si>
  <si>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</si>
  <si>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</si>
  <si>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</si>
  <si>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</si>
  <si>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</si>
  <si>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</si>
  <si>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</si>
  <si>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</si>
  <si>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</si>
  <si>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</si>
  <si>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</si>
  <si>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</si>
  <si>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</si>
  <si>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</si>
  <si>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</si>
  <si>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</si>
  <si>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</si>
  <si>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</si>
  <si>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</si>
  <si>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</si>
  <si>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</si>
  <si>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</si>
  <si>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</si>
  <si>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</si>
  <si>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</si>
  <si>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</si>
  <si>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</si>
  <si>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</si>
  <si>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</si>
  <si>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</si>
  <si>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</si>
  <si>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</si>
  <si>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</si>
  <si>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</si>
  <si>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</si>
  <si>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</si>
  <si>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</si>
  <si>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</si>
  <si>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</si>
  <si>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</si>
  <si>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</si>
  <si>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</si>
  <si>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</si>
  <si>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</si>
  <si>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</si>
  <si>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</si>
  <si>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</si>
  <si>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</si>
  <si>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</si>
  <si>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</si>
  <si>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</si>
  <si>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</si>
  <si>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</si>
  <si>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</si>
  <si>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</si>
  <si>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</si>
  <si>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</si>
  <si>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</si>
  <si>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</si>
  <si>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</si>
  <si>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</si>
  <si>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</si>
  <si>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</si>
  <si>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</si>
  <si>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</si>
  <si>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</si>
  <si>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</si>
  <si>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</si>
  <si>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</si>
  <si>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</si>
  <si>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</si>
  <si>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</si>
  <si>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</si>
  <si>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</si>
  <si>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</si>
  <si>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</si>
  <si>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</si>
  <si>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</si>
  <si>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</si>
  <si>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</si>
  <si>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</si>
  <si>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</si>
  <si>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</si>
  <si>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</si>
  <si>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</si>
  <si>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</si>
  <si>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</si>
  <si>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</si>
  <si>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</si>
  <si>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</si>
  <si>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</si>
  <si>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</si>
  <si>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</si>
  <si>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</si>
  <si>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</si>
  <si>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</si>
  <si>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</si>
  <si>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</si>
  <si>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</si>
  <si>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</si>
  <si>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</si>
  <si>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</si>
  <si>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</si>
  <si>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</si>
  <si>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</si>
  <si>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</si>
  <si>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</si>
  <si>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</si>
  <si>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</si>
  <si>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</si>
  <si>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</si>
  <si>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</si>
  <si>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</si>
  <si>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</si>
  <si>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</si>
  <si>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</si>
  <si>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</si>
  <si>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</si>
  <si>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</si>
  <si>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</si>
  <si>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</si>
  <si>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</si>
  <si>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</si>
  <si>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</si>
  <si>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</si>
  <si>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</si>
  <si>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</si>
  <si>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</si>
  <si>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</si>
  <si>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</si>
  <si>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</si>
  <si>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</si>
  <si>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</si>
  <si>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</si>
  <si>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</si>
  <si>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</si>
  <si>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</si>
  <si>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</si>
  <si>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</si>
  <si>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</si>
  <si>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</si>
  <si>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</si>
  <si>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</si>
  <si>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</si>
  <si>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</si>
  <si>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</si>
  <si>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</si>
  <si>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</si>
  <si>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</si>
  <si>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</si>
  <si>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</si>
  <si>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</si>
  <si>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</si>
  <si>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</si>
  <si>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</si>
  <si>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</si>
  <si>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</si>
  <si>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</si>
  <si>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</si>
  <si>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</si>
  <si>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</si>
  <si>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</si>
  <si>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</si>
  <si>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</si>
  <si>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</si>
  <si>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</si>
  <si>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</si>
  <si>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</si>
  <si>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</si>
  <si>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</si>
  <si>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</si>
  <si>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</si>
  <si>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</si>
  <si>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</si>
  <si>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</si>
  <si>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</si>
  <si>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</si>
  <si>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</si>
  <si>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</si>
  <si>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</si>
  <si>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</si>
  <si>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</si>
  <si>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</si>
  <si>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</si>
  <si>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</si>
  <si>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</si>
  <si>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</si>
  <si>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</si>
  <si>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</si>
  <si>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</si>
  <si>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</si>
  <si>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</si>
  <si>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</si>
  <si>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</si>
  <si>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</si>
  <si>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</si>
  <si>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</si>
  <si>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</si>
  <si>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</si>
  <si>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</si>
  <si>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</si>
  <si>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</si>
  <si>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</si>
  <si>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</si>
  <si>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</si>
  <si>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</si>
  <si>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</si>
  <si>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</si>
  <si>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</si>
  <si>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</si>
  <si>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</si>
  <si>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</si>
  <si>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</si>
  <si>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</si>
  <si>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</si>
  <si>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</si>
  <si>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</si>
  <si>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</si>
  <si>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</si>
  <si>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</si>
  <si>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</si>
  <si>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</si>
  <si>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</si>
  <si>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</si>
  <si>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</si>
  <si>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</si>
  <si>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</si>
  <si>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</si>
  <si>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</si>
  <si>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</si>
  <si>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</si>
  <si>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</si>
  <si>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</si>
  <si>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</si>
  <si>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</si>
  <si>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</si>
  <si>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</si>
  <si>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</si>
  <si>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</si>
  <si>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</si>
  <si>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</si>
  <si>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</si>
  <si>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</si>
  <si>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</si>
  <si>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</si>
  <si>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</si>
  <si>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</si>
  <si>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</si>
  <si>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</si>
  <si>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</si>
  <si>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</si>
  <si>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</si>
  <si>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</si>
  <si>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</si>
  <si>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</si>
  <si>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</si>
  <si>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</si>
  <si>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</si>
  <si>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</si>
  <si>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</si>
  <si>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</si>
  <si>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</si>
  <si>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</si>
  <si>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</si>
  <si>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</si>
  <si>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</si>
  <si>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</si>
  <si>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</si>
  <si>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</si>
  <si>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</si>
  <si>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</si>
  <si>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</si>
  <si>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</si>
  <si>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</si>
  <si>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</si>
  <si>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</si>
  <si>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</si>
  <si>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</si>
  <si>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</si>
  <si>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</si>
  <si>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</si>
  <si>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</si>
  <si>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</si>
  <si>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</si>
  <si>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</si>
  <si>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</si>
  <si>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</si>
  <si>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</si>
  <si>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</si>
  <si>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</si>
  <si>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</si>
  <si>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</si>
  <si>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</si>
  <si>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</si>
  <si>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</si>
  <si>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</si>
  <si>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</si>
  <si>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</si>
  <si>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</si>
  <si>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</si>
  <si>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</si>
  <si>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</si>
  <si>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</si>
  <si>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</si>
  <si>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</si>
  <si>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</si>
  <si>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</si>
  <si>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</si>
  <si>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</si>
  <si>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</si>
  <si>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</si>
  <si>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</si>
  <si>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</si>
  <si>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</si>
  <si>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</si>
  <si>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</si>
  <si>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</si>
  <si>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</si>
  <si>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</si>
  <si>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</si>
  <si>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</si>
  <si>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</si>
  <si>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</si>
  <si>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</si>
  <si>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</si>
  <si>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</si>
  <si>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</si>
  <si>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</si>
  <si>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</si>
  <si>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</si>
  <si>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</si>
  <si>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</si>
  <si>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</si>
  <si>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</si>
  <si>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</si>
  <si>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</si>
  <si>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</si>
  <si>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</si>
  <si>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</si>
  <si>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</si>
  <si>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</si>
  <si>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</si>
  <si>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</si>
  <si>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</si>
  <si>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</si>
  <si>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</si>
  <si>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</si>
  <si>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</si>
  <si>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</si>
  <si>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</si>
  <si>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</si>
  <si>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</si>
  <si>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</si>
  <si>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</si>
  <si>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</si>
  <si>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</si>
  <si>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</si>
  <si>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</si>
  <si>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</si>
  <si>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</si>
  <si>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</si>
  <si>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</si>
  <si>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</si>
  <si>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</si>
  <si>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</si>
  <si>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</si>
  <si>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</si>
  <si>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</si>
  <si>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</si>
  <si>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</si>
  <si>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</si>
  <si>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</si>
  <si>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</si>
  <si>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</si>
  <si>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</si>
  <si>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</si>
  <si>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</si>
  <si>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</si>
  <si>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</si>
  <si>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</si>
  <si>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</si>
  <si>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</si>
  <si>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</si>
  <si>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</si>
  <si>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</si>
  <si>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</si>
  <si>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</si>
  <si>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</si>
  <si>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</si>
  <si>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</si>
  <si>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</si>
  <si>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</si>
  <si>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</si>
  <si>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</si>
  <si>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</si>
  <si>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</si>
  <si>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</si>
  <si>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</si>
  <si>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</si>
  <si>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</si>
  <si>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</si>
  <si>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</si>
  <si>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</si>
  <si>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</si>
  <si>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</si>
  <si>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</si>
  <si>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</si>
  <si>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</si>
  <si>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</si>
  <si>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</si>
  <si>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</si>
  <si>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</si>
  <si>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</si>
  <si>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</si>
  <si>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</si>
  <si>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</si>
  <si>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</si>
  <si>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</si>
  <si>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</si>
  <si>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</si>
  <si>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</si>
  <si>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</si>
  <si>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</si>
  <si>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</si>
  <si>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</si>
  <si>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</si>
  <si>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</si>
  <si>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</si>
  <si>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</si>
  <si>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</si>
  <si>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</si>
  <si>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</si>
  <si>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</si>
  <si>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</si>
  <si>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</si>
  <si>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</si>
  <si>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</si>
  <si>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</si>
  <si>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</si>
  <si>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</si>
  <si>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</si>
  <si>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</si>
  <si>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</si>
  <si>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</si>
  <si>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</si>
  <si>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</si>
  <si>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</si>
  <si>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</si>
  <si>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</si>
  <si>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</si>
  <si>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</si>
  <si>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</si>
  <si>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</si>
  <si>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</si>
  <si>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</si>
  <si>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</si>
  <si>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</si>
  <si>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</si>
  <si>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</si>
  <si>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</si>
  <si>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</si>
  <si>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</si>
  <si>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</si>
  <si>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</si>
  <si>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</si>
  <si>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</si>
  <si>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</si>
  <si>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</si>
  <si>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</si>
  <si>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</si>
  <si>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</si>
  <si>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</si>
  <si>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</si>
  <si>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</si>
  <si>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</si>
  <si>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</si>
  <si>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</si>
  <si>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</si>
  <si>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</si>
  <si>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</si>
  <si>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</si>
  <si>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</si>
  <si>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</si>
  <si>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</si>
  <si>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</si>
  <si>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</si>
  <si>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</si>
  <si>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</si>
  <si>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</si>
  <si>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</si>
  <si>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</si>
  <si>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</si>
  <si>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</si>
  <si>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</si>
  <si>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</si>
  <si>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</si>
  <si>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</si>
  <si>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</si>
  <si>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</si>
  <si>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</si>
  <si>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</si>
  <si>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</si>
  <si>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</si>
  <si>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</si>
  <si>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</si>
  <si>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</si>
  <si>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</si>
  <si>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</si>
  <si>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</si>
  <si>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</si>
  <si>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</si>
  <si>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</si>
  <si>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</si>
  <si>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</si>
  <si>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</si>
  <si>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</si>
  <si>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</si>
  <si>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</si>
  <si>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</si>
  <si>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</si>
  <si>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</si>
  <si>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</si>
  <si>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</si>
  <si>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</si>
  <si>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</si>
  <si>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</si>
  <si>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</si>
  <si>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</si>
  <si>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</si>
  <si>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</si>
  <si>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</si>
  <si>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</si>
  <si>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</si>
  <si>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</si>
  <si>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</si>
  <si>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</si>
  <si>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</si>
  <si>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</si>
  <si>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</si>
  <si>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</si>
  <si>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</si>
  <si>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</si>
  <si>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</si>
  <si>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</si>
  <si>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</si>
  <si>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</si>
  <si>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</si>
  <si>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</si>
  <si>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</si>
  <si>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</si>
  <si>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</si>
  <si>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</si>
  <si>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</si>
  <si>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</si>
  <si>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</si>
  <si>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</si>
  <si>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</si>
  <si>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</si>
  <si>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</si>
  <si>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</si>
  <si>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</si>
  <si>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</si>
  <si>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</si>
  <si>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</si>
  <si>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</si>
  <si>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</si>
  <si>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</si>
  <si>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</si>
  <si>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</si>
  <si>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</si>
  <si>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</si>
  <si>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</si>
  <si>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</si>
  <si>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</si>
  <si>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</si>
  <si>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</si>
  <si>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</si>
  <si>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</si>
  <si>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</si>
  <si>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</si>
  <si>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</si>
  <si>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</si>
  <si>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</si>
  <si>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</si>
  <si>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</si>
  <si>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</si>
  <si>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</si>
  <si>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</si>
  <si>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</si>
  <si>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</si>
  <si>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</si>
  <si>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</si>
  <si>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</si>
  <si>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</si>
  <si>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</si>
  <si>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</si>
  <si>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</si>
  <si>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</si>
  <si>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</si>
  <si>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</si>
  <si>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</si>
  <si>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</si>
  <si>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</si>
  <si>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</si>
  <si>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</si>
  <si>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</si>
  <si>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</si>
  <si>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</si>
  <si>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</si>
  <si>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</si>
  <si>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</si>
  <si>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</si>
  <si>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</si>
  <si>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</si>
  <si>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</si>
  <si>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</si>
  <si>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</si>
  <si>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</si>
  <si>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</si>
  <si>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</si>
  <si>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</si>
  <si>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</si>
  <si>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</si>
  <si>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</si>
  <si>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</si>
  <si>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</si>
  <si>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</si>
  <si>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</si>
  <si>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</si>
  <si>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</si>
  <si>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</si>
  <si>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</si>
  <si>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</si>
  <si>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</si>
  <si>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</si>
  <si>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</si>
  <si>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</si>
  <si>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</si>
  <si>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</si>
  <si>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</si>
  <si>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</si>
  <si>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</si>
  <si>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</si>
  <si>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</si>
  <si>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</si>
  <si>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</si>
  <si>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</si>
  <si>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</si>
  <si>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</si>
  <si>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</si>
  <si>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</si>
  <si>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</si>
  <si>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</si>
  <si>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</si>
  <si>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</si>
  <si>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</si>
  <si>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</si>
  <si>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</si>
  <si>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</si>
  <si>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</si>
  <si>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</si>
  <si>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</si>
  <si>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</si>
  <si>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</si>
  <si>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</si>
  <si>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</si>
  <si>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</si>
  <si>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</si>
  <si>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</si>
  <si>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</si>
  <si>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</si>
  <si>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</si>
  <si>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</si>
  <si>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</si>
  <si>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</si>
  <si>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</si>
  <si>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</si>
  <si>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</si>
  <si>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</si>
  <si>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</si>
  <si>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</si>
  <si>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</si>
  <si>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</si>
  <si>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</si>
  <si>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</si>
  <si>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</si>
  <si>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</si>
  <si>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</si>
  <si>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</si>
  <si>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</si>
  <si>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</si>
  <si>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</si>
  <si>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</si>
  <si>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</si>
  <si>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</si>
  <si>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</si>
  <si>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</si>
  <si>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</si>
  <si>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</si>
  <si>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</si>
  <si>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</si>
  <si>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</si>
  <si>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</si>
  <si>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</si>
  <si>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</si>
  <si>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</si>
  <si>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</si>
  <si>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</si>
  <si>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</si>
  <si>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</si>
  <si>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</si>
  <si>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</si>
  <si>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</si>
  <si>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</si>
  <si>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</si>
  <si>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</si>
  <si>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</si>
  <si>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</si>
  <si>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</si>
  <si>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</si>
  <si>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</si>
  <si>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</si>
  <si>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</si>
  <si>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</si>
  <si>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</si>
  <si>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</si>
  <si>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</si>
  <si>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</si>
  <si>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</si>
  <si>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</si>
  <si>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</si>
  <si>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</si>
  <si>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</si>
  <si>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</si>
  <si>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</si>
  <si>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</si>
  <si>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</si>
  <si>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</si>
  <si>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</si>
  <si>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</si>
  <si>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</si>
  <si>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</si>
  <si>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</si>
  <si>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</si>
  <si>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</si>
  <si>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</si>
  <si>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</si>
  <si>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</si>
  <si>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</si>
  <si>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</si>
  <si>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</si>
  <si>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</si>
  <si>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</si>
  <si>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</si>
  <si>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</si>
  <si>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</si>
  <si>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</si>
  <si>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</si>
  <si>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</si>
  <si>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</si>
  <si>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</si>
  <si>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</si>
  <si>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</si>
  <si>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</si>
  <si>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</si>
  <si>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</si>
  <si>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</si>
  <si>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</si>
  <si>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</si>
  <si>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</si>
  <si>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</si>
  <si>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</si>
  <si>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</si>
  <si>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</si>
  <si>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</si>
  <si>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</si>
  <si>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</si>
  <si>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</si>
  <si>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</si>
  <si>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</si>
  <si>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</si>
  <si>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</si>
  <si>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</si>
  <si>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</si>
  <si>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</si>
  <si>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</si>
  <si>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</si>
  <si>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</si>
  <si>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</si>
  <si>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</si>
  <si>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</si>
  <si>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</si>
  <si>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</si>
  <si>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</si>
  <si>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</si>
  <si>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</si>
  <si>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</si>
  <si>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</si>
  <si>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</si>
  <si>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</si>
  <si>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</si>
  <si>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</si>
  <si>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</si>
  <si>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</si>
  <si>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</si>
  <si>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</si>
  <si>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</si>
  <si>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</si>
  <si>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COLEBROOK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</si>
</sst>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105</v>
      </c>
      <c r="C2" s="21">
        <v>105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518491.32</v>
      </c>
      <c r="G9" s="18">
        <v>8402.57</v>
      </c>
      <c r="H9" s="18"/>
      <c r="I9" s="18"/>
      <c r="J9" s="67">
        <f>SUM(I438)</f>
        <v>553234.30999999994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104347.66-32.08</f>
        <v>104315.58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128296.56</v>
      </c>
      <c r="G13" s="18">
        <v>18817.57</v>
      </c>
      <c r="H13" s="18">
        <f>80446.59+2319.52+358+2714.97+14008.5-32.08</f>
        <v>99815.5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824.79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10765.23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751928.25</v>
      </c>
      <c r="G19" s="41">
        <f>SUM(G9:G18)</f>
        <v>37985.369999999995</v>
      </c>
      <c r="H19" s="41">
        <f>SUM(H9:H18)</f>
        <v>99815.5</v>
      </c>
      <c r="I19" s="41">
        <f>SUM(I9:I18)</f>
        <v>0</v>
      </c>
      <c r="J19" s="41">
        <f>SUM(J9:J18)</f>
        <v>553234.30999999994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8433.08</v>
      </c>
      <c r="H22" s="18">
        <f>95914.58-32.08</f>
        <v>95882.5</v>
      </c>
      <c r="I22" s="18"/>
      <c r="J22" s="67">
        <f>SUM(I447)</f>
        <v>20885.010000000002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61399.1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>
        <v>2187.35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9416.5300000000007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769.96+1500.98+783.16+12716.96+88.4</f>
        <v>15859.46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17832.490000000002</v>
      </c>
      <c r="G30" s="18"/>
      <c r="H30" s="18">
        <f>9+3424+500</f>
        <v>3933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104507.58</v>
      </c>
      <c r="G32" s="41">
        <f>SUM(G22:G31)</f>
        <v>10620.43</v>
      </c>
      <c r="H32" s="41">
        <f>SUM(H22:H31)</f>
        <v>99815.5</v>
      </c>
      <c r="I32" s="41">
        <f>SUM(I22:I31)</f>
        <v>0</v>
      </c>
      <c r="J32" s="41">
        <f>SUM(J22:J31)</f>
        <v>20885.010000000002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10765.23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16599.71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24235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532349.30000000005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647452.75-24235-32.08</f>
        <v>623185.67000000004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647420.67000000004</v>
      </c>
      <c r="G50" s="41">
        <f>SUM(G35:G49)</f>
        <v>27364.94</v>
      </c>
      <c r="H50" s="41">
        <f>SUM(H35:H49)</f>
        <v>0</v>
      </c>
      <c r="I50" s="41">
        <f>SUM(I35:I49)</f>
        <v>0</v>
      </c>
      <c r="J50" s="41">
        <f>SUM(J35:J49)</f>
        <v>532349.30000000005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751928.25</v>
      </c>
      <c r="G51" s="41">
        <f>G50+G32</f>
        <v>37985.369999999995</v>
      </c>
      <c r="H51" s="41">
        <f>H50+H32</f>
        <v>99815.5</v>
      </c>
      <c r="I51" s="41">
        <f>I50+I32</f>
        <v>0</v>
      </c>
      <c r="J51" s="41">
        <f>J50+J32</f>
        <v>553234.31000000006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1653347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1653347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1680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14850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1429869.32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271788.09000000003</v>
      </c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1718187.4100000001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338.73</v>
      </c>
      <c r="G95" s="18"/>
      <c r="H95" s="18"/>
      <c r="I95" s="18"/>
      <c r="J95" s="18">
        <f>6202.07+369.14</f>
        <v>6571.21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85923.98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18171.740000000002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5000</v>
      </c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101734.01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4422.12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7481.54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6048.68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143196.81999999998</v>
      </c>
      <c r="G110" s="41">
        <f>SUM(G95:G109)</f>
        <v>85923.98</v>
      </c>
      <c r="H110" s="41">
        <f>SUM(H95:H109)</f>
        <v>0</v>
      </c>
      <c r="I110" s="41">
        <f>SUM(I95:I109)</f>
        <v>0</v>
      </c>
      <c r="J110" s="41">
        <f>SUM(J95:J109)</f>
        <v>6571.21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3514731.23</v>
      </c>
      <c r="G111" s="41">
        <f>G59+G110</f>
        <v>85923.98</v>
      </c>
      <c r="H111" s="41">
        <f>H59+H78+H93+H110</f>
        <v>0</v>
      </c>
      <c r="I111" s="41">
        <f>I59+I110</f>
        <v>0</v>
      </c>
      <c r="J111" s="41">
        <f>J59+J110</f>
        <v>6571.21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2067203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367272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1789.55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2436264.5499999998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206722.77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11050.46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4170.32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5087.32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221943.55</v>
      </c>
      <c r="G135" s="41">
        <f>SUM(G122:G134)</f>
        <v>5087.32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2658208.0999999996</v>
      </c>
      <c r="G139" s="41">
        <f>G120+SUM(G135:G136)</f>
        <v>5087.32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>
        <f>9056.19+1273.52</f>
        <v>10329.710000000001</v>
      </c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f>52892.27-1789.55</f>
        <v>51102.719999999994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51102.719999999994</v>
      </c>
      <c r="G146" s="41">
        <f>SUM(G144:G145)</f>
        <v>0</v>
      </c>
      <c r="H146" s="41">
        <f>SUM(H144:H145)</f>
        <v>10329.710000000001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216662.04+13269.78+7651.85-32.08</f>
        <v>237551.59000000003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16955.46+5428+764.82+16306.85+14167.5</f>
        <v>53622.63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97729.07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6863.92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f>1000+2440.95+20953.54+4567.44</f>
        <v>28961.93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6863.92</v>
      </c>
      <c r="G161" s="41">
        <f>SUM(G149:G160)</f>
        <v>97729.07</v>
      </c>
      <c r="H161" s="41">
        <f>SUM(H149:H160)</f>
        <v>320136.15000000002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57966.639999999992</v>
      </c>
      <c r="G168" s="41">
        <f>G146+G161+SUM(G162:G167)</f>
        <v>97729.07</v>
      </c>
      <c r="H168" s="41">
        <f>H146+H161+SUM(H162:H167)</f>
        <v>330465.86000000004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45000</v>
      </c>
      <c r="H178" s="18"/>
      <c r="I178" s="18"/>
      <c r="J178" s="18">
        <v>30000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45000</v>
      </c>
      <c r="H182" s="41">
        <f>SUM(H178:H181)</f>
        <v>0</v>
      </c>
      <c r="I182" s="41">
        <f>SUM(I178:I181)</f>
        <v>0</v>
      </c>
      <c r="J182" s="41">
        <f>SUM(J178:J181)</f>
        <v>30000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20885.009999999998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20885.009999999998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20885.009999999998</v>
      </c>
      <c r="G191" s="41">
        <f>G182+SUM(G187:G190)</f>
        <v>45000</v>
      </c>
      <c r="H191" s="41">
        <f>+H182+SUM(H187:H190)</f>
        <v>0</v>
      </c>
      <c r="I191" s="41">
        <f>I176+I182+SUM(I187:I190)</f>
        <v>0</v>
      </c>
      <c r="J191" s="41">
        <f>J182</f>
        <v>30000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6251790.9799999995</v>
      </c>
      <c r="G192" s="47">
        <f>G111+G139+G168+G191</f>
        <v>233740.37</v>
      </c>
      <c r="H192" s="47">
        <f>H111+H139+H168+H191</f>
        <v>330465.86000000004</v>
      </c>
      <c r="I192" s="47">
        <f>I111+I139+I168+I191</f>
        <v>0</v>
      </c>
      <c r="J192" s="47">
        <f>J111+J139+J191</f>
        <v>36571.21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829536.71+24288.08+20408.88</f>
        <v>874233.66999999993</v>
      </c>
      <c r="G196" s="18">
        <f>284756.89+2337.44+65990.53+96779.16+5877.5+3520.01+24034+666.19</f>
        <v>483961.72000000003</v>
      </c>
      <c r="H196" s="18">
        <f>8737.25+1484.8+15766.26</f>
        <v>25988.309999999998</v>
      </c>
      <c r="I196" s="18">
        <f>14697.44+2830.25</f>
        <v>17527.690000000002</v>
      </c>
      <c r="J196" s="18">
        <f>2500+538.75</f>
        <v>3038.75</v>
      </c>
      <c r="K196" s="18">
        <f>1348</f>
        <v>1348</v>
      </c>
      <c r="L196" s="19">
        <f>SUM(F196:K196)</f>
        <v>1406098.14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69339+172974.48+8085.49+11614.34+21775.95+32.08</f>
        <v>283821.34000000003</v>
      </c>
      <c r="G197" s="18">
        <f>38420.41+19799.76+8759.39+876.86+517+4150.3+1615.63+2460.62</f>
        <v>76599.97</v>
      </c>
      <c r="H197" s="18">
        <f>5434.92+316.89+3193</f>
        <v>8944.8100000000013</v>
      </c>
      <c r="I197" s="18">
        <f>723.84+120.64</f>
        <v>844.48</v>
      </c>
      <c r="J197" s="18">
        <f>87</f>
        <v>87</v>
      </c>
      <c r="K197" s="18">
        <v>674.34</v>
      </c>
      <c r="L197" s="19">
        <f>SUM(F197:K197)</f>
        <v>370971.94000000006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2888.4+1317.12+11061+3352</f>
        <v>18618.52</v>
      </c>
      <c r="G199" s="18">
        <f>220.95+293.17+8.84+100.76+183.74+1125.22+340.58+33.04</f>
        <v>2306.3000000000002</v>
      </c>
      <c r="H199" s="18"/>
      <c r="I199" s="18">
        <f>98.91</f>
        <v>98.91</v>
      </c>
      <c r="J199" s="18"/>
      <c r="K199" s="18">
        <f>170</f>
        <v>170</v>
      </c>
      <c r="L199" s="19">
        <f>SUM(F199:K199)</f>
        <v>21193.73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34500+28244.64+93298.99+36775.33+4055.42+25474.99</f>
        <v>222349.37000000002</v>
      </c>
      <c r="G201" s="18">
        <f>19210.2+2458.73+3898.45+100.5+9301.91+213.82+103.82+2813.31+310.23+9605.1+1858.12+2907.7+76.42</f>
        <v>52858.31</v>
      </c>
      <c r="H201" s="18">
        <f>5679.92+43897.8+652.24+1575+26875+232.53+2650+30139.05+725+249.95+212.82</f>
        <v>112889.31</v>
      </c>
      <c r="I201" s="18">
        <f>470.95+270.12+1130.18+1546.17+159.65+79.95+178.76+610.61+1933</f>
        <v>6379.3899999999994</v>
      </c>
      <c r="J201" s="18">
        <f>172.44+169.9+18802.43</f>
        <v>19144.77</v>
      </c>
      <c r="K201" s="18">
        <f>544.5+225+2994.39+385</f>
        <v>4148.8899999999994</v>
      </c>
      <c r="L201" s="19">
        <f t="shared" ref="L201:L207" si="0">SUM(F201:K201)</f>
        <v>417770.0400000001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4450.85+25477+8307.22</f>
        <v>38235.07</v>
      </c>
      <c r="G202" s="18">
        <f>335.35+498.44+4336+3557.45+2517.56+2878.91+76.43</f>
        <v>14200.14</v>
      </c>
      <c r="H202" s="18">
        <f>2403.45+58.42+90.97+1492.85+419</f>
        <v>4464.6899999999996</v>
      </c>
      <c r="I202" s="18"/>
      <c r="J202" s="18"/>
      <c r="K202" s="18">
        <f>600+2850</f>
        <v>3450</v>
      </c>
      <c r="L202" s="19">
        <f t="shared" si="0"/>
        <v>60349.9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5580+500</f>
        <v>6080</v>
      </c>
      <c r="G203" s="18">
        <f>426.87+20.7+38.25+71.47</f>
        <v>557.29</v>
      </c>
      <c r="H203" s="18">
        <f>12796.25+4350.43+1553.88+1179.42+173047.4+484.8+184.26</f>
        <v>193596.44</v>
      </c>
      <c r="I203" s="18">
        <f>662.7</f>
        <v>662.7</v>
      </c>
      <c r="J203" s="18"/>
      <c r="K203" s="18">
        <f>4221.3</f>
        <v>4221.3</v>
      </c>
      <c r="L203" s="19">
        <f t="shared" si="0"/>
        <v>205117.73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70230.78+43381.05+12503.78</f>
        <v>126115.61</v>
      </c>
      <c r="G204" s="18">
        <f>28459.68+9401.66+8321.09+333.04+300</f>
        <v>46815.469999999994</v>
      </c>
      <c r="H204" s="18">
        <f>5209.35+100+6573.59+2021.97+530.46+77</f>
        <v>14512.369999999999</v>
      </c>
      <c r="I204" s="18">
        <f>905.92</f>
        <v>905.92</v>
      </c>
      <c r="J204" s="18"/>
      <c r="K204" s="18">
        <f>366.84</f>
        <v>366.84</v>
      </c>
      <c r="L204" s="19">
        <f t="shared" si="0"/>
        <v>188716.21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87330.94</f>
        <v>87330.94</v>
      </c>
      <c r="G206" s="18">
        <f>50634.41+6212.6+3962.56+81.9</f>
        <v>60891.47</v>
      </c>
      <c r="H206" s="18">
        <f>28506.26+2929.61+4099.08+5426.99+51806.62+11167.22+132.63</f>
        <v>104068.41</v>
      </c>
      <c r="I206" s="18">
        <f>24229.41+60806.5+62209.61+329.16+45.49</f>
        <v>147620.17000000001</v>
      </c>
      <c r="J206" s="18">
        <f>395+7623.28</f>
        <v>8018.28</v>
      </c>
      <c r="K206" s="18">
        <v>164.14</v>
      </c>
      <c r="L206" s="19">
        <f t="shared" si="0"/>
        <v>408093.41000000003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f>8894.57</f>
        <v>8894.57</v>
      </c>
      <c r="G207" s="18">
        <f>680.39+59.4</f>
        <v>739.79</v>
      </c>
      <c r="H207" s="18">
        <f>122052.62+1582.28+897+540+283.5+4330+11017.64</f>
        <v>140703.03999999998</v>
      </c>
      <c r="I207" s="18">
        <f>93.56+3196.13</f>
        <v>3289.69</v>
      </c>
      <c r="J207" s="18">
        <f>438.84</f>
        <v>438.84</v>
      </c>
      <c r="K207" s="18">
        <v>101.2</v>
      </c>
      <c r="L207" s="19">
        <f t="shared" si="0"/>
        <v>154167.12999999998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1665679.0900000003</v>
      </c>
      <c r="G210" s="41">
        <f t="shared" si="1"/>
        <v>738930.46000000008</v>
      </c>
      <c r="H210" s="41">
        <f t="shared" si="1"/>
        <v>605167.37999999989</v>
      </c>
      <c r="I210" s="41">
        <f t="shared" si="1"/>
        <v>177328.95</v>
      </c>
      <c r="J210" s="41">
        <f t="shared" si="1"/>
        <v>30727.64</v>
      </c>
      <c r="K210" s="41">
        <f t="shared" si="1"/>
        <v>14644.71</v>
      </c>
      <c r="L210" s="41">
        <f t="shared" si="1"/>
        <v>3232478.23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643757.08+5522.64+19102.96+7450</f>
        <v>675832.67999999993</v>
      </c>
      <c r="G232" s="18">
        <f>180941.75+1160.56+50664.43+73226.09+1666.71+7059.14</f>
        <v>314718.68</v>
      </c>
      <c r="H232" s="18">
        <f>14850+5949.67+668.7+175+3881.9</f>
        <v>25525.27</v>
      </c>
      <c r="I232" s="18">
        <f>18359.25+12468.97+189</f>
        <v>31017.22</v>
      </c>
      <c r="J232" s="18">
        <f>509.71+991.72</f>
        <v>1501.43</v>
      </c>
      <c r="K232" s="18"/>
      <c r="L232" s="19">
        <f>SUM(F232:K232)</f>
        <v>1048595.2799999998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78314+25900.15+21775.95</f>
        <v>125990.09999999999</v>
      </c>
      <c r="G233" s="18">
        <f>33440.03+7972.22+8849.6+234.94+4150.44+1615.94+2460.62</f>
        <v>58723.790000000008</v>
      </c>
      <c r="H233" s="18">
        <f>4682.79+14533.06</f>
        <v>19215.849999999999</v>
      </c>
      <c r="I233" s="18">
        <f>140</f>
        <v>140</v>
      </c>
      <c r="J233" s="18">
        <f>134.44</f>
        <v>134.44</v>
      </c>
      <c r="K233" s="18"/>
      <c r="L233" s="19">
        <f>SUM(F233:K233)</f>
        <v>204204.18000000002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13350</v>
      </c>
      <c r="I234" s="18"/>
      <c r="J234" s="18"/>
      <c r="K234" s="18"/>
      <c r="L234" s="19">
        <f>SUM(F234:K234)</f>
        <v>13350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20234.8+40515+1104</f>
        <v>61853.8</v>
      </c>
      <c r="G235" s="18">
        <f>1547.97+1857.12+63.38+3183.87+1796.93+123.36</f>
        <v>8572.630000000001</v>
      </c>
      <c r="H235" s="18">
        <f>234.28+10784</f>
        <v>11018.28</v>
      </c>
      <c r="I235" s="18">
        <f>184.5+2762.65</f>
        <v>2947.15</v>
      </c>
      <c r="J235" s="18">
        <v>1135.7</v>
      </c>
      <c r="K235" s="18">
        <f>5148.31+752.5</f>
        <v>5900.81</v>
      </c>
      <c r="L235" s="19">
        <f>SUM(F235:K235)</f>
        <v>91428.37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73149.68+25474.82</f>
        <v>98624.5</v>
      </c>
      <c r="G237" s="18">
        <f>21344.76+5461.56+5938.94+219.6+9605.1+1857.92+2907.69+76.43</f>
        <v>47412</v>
      </c>
      <c r="H237" s="18">
        <f>895.08+330+244+21567.26+110+4662+10925+286.8+89.52</f>
        <v>39109.659999999996</v>
      </c>
      <c r="I237" s="18">
        <f>169+503.01+188.2+5841.47</f>
        <v>6701.68</v>
      </c>
      <c r="J237" s="18">
        <f>174.95+392+32025.32</f>
        <v>32592.27</v>
      </c>
      <c r="K237" s="18">
        <f>590+1256.31+225</f>
        <v>2071.31</v>
      </c>
      <c r="L237" s="19">
        <f t="shared" ref="L237:L243" si="4">SUM(F237:K237)</f>
        <v>226511.41999999998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2210+25477+7004.55</f>
        <v>34691.550000000003</v>
      </c>
      <c r="G238" s="18">
        <f>169.07+249.72+3557.45+2484.84+2878.91+76.43</f>
        <v>9416.42</v>
      </c>
      <c r="H238" s="18">
        <f>1183.79+28.78+284.04+1042.59+1095</f>
        <v>3634.2</v>
      </c>
      <c r="I238" s="18"/>
      <c r="J238" s="18">
        <f>278</f>
        <v>278</v>
      </c>
      <c r="K238" s="18">
        <f>996+2850</f>
        <v>3846</v>
      </c>
      <c r="L238" s="19">
        <f t="shared" si="4"/>
        <v>51866.17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3720</v>
      </c>
      <c r="G239" s="18">
        <f>284.58+10.2</f>
        <v>294.77999999999997</v>
      </c>
      <c r="H239" s="18">
        <f>7953.53+2154.07+971.62+580.92+85232.32</f>
        <v>96892.46</v>
      </c>
      <c r="I239" s="18">
        <f>311.47</f>
        <v>311.47000000000003</v>
      </c>
      <c r="J239" s="18"/>
      <c r="K239" s="18">
        <f>1638.56</f>
        <v>1638.56</v>
      </c>
      <c r="L239" s="19">
        <f t="shared" si="4"/>
        <v>102857.27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67897.98+42918.39+5500</f>
        <v>116316.37</v>
      </c>
      <c r="G240" s="18">
        <f>19047.49+9115.27+8371.19+328.89+4597.14</f>
        <v>41459.980000000003</v>
      </c>
      <c r="H240" s="18">
        <f>3506.36+100+3688.81+1945.1+1023.79+1284.82</f>
        <v>11548.880000000001</v>
      </c>
      <c r="I240" s="18">
        <f>1920.3+89.06+625.11</f>
        <v>2634.47</v>
      </c>
      <c r="J240" s="18">
        <f>538</f>
        <v>538</v>
      </c>
      <c r="K240" s="18">
        <v>1820.72</v>
      </c>
      <c r="L240" s="19">
        <f t="shared" si="4"/>
        <v>174318.42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64902.5</f>
        <v>64902.5</v>
      </c>
      <c r="G242" s="18">
        <f>4969.85+14229.84+1951.72+244.1</f>
        <v>21395.510000000002</v>
      </c>
      <c r="H242" s="18">
        <f>19247.62+1504.99+1916.96+2673.01+24268.46+141+5500.28+39.27</f>
        <v>55291.59</v>
      </c>
      <c r="I242" s="18">
        <f>11039.69+29508.09+42429.92+116.27+12.26</f>
        <v>83106.23</v>
      </c>
      <c r="J242" s="18">
        <f>4409.83</f>
        <v>4409.83</v>
      </c>
      <c r="K242" s="18">
        <f>90.36</f>
        <v>90.36</v>
      </c>
      <c r="L242" s="19">
        <f t="shared" si="4"/>
        <v>229196.02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f>1080.76</f>
        <v>1080.76</v>
      </c>
      <c r="G243" s="18">
        <f>82.67</f>
        <v>82.67</v>
      </c>
      <c r="H243" s="18">
        <f>53242.03+121.5+17669.5+2992.06</f>
        <v>74025.09</v>
      </c>
      <c r="I243" s="18">
        <f>200+20.49</f>
        <v>220.49</v>
      </c>
      <c r="J243" s="18"/>
      <c r="K243" s="18"/>
      <c r="L243" s="19">
        <f t="shared" si="4"/>
        <v>75409.009999999995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1183012.26</v>
      </c>
      <c r="G246" s="41">
        <f t="shared" si="5"/>
        <v>502076.45999999996</v>
      </c>
      <c r="H246" s="41">
        <f t="shared" si="5"/>
        <v>349611.28</v>
      </c>
      <c r="I246" s="41">
        <f t="shared" si="5"/>
        <v>127078.71</v>
      </c>
      <c r="J246" s="41">
        <f t="shared" si="5"/>
        <v>40589.670000000006</v>
      </c>
      <c r="K246" s="41">
        <f t="shared" si="5"/>
        <v>15367.76</v>
      </c>
      <c r="L246" s="41">
        <f t="shared" si="5"/>
        <v>2217736.1399999992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2848691.3500000006</v>
      </c>
      <c r="G256" s="41">
        <f t="shared" si="8"/>
        <v>1241006.92</v>
      </c>
      <c r="H256" s="41">
        <f t="shared" si="8"/>
        <v>954778.65999999992</v>
      </c>
      <c r="I256" s="41">
        <f t="shared" si="8"/>
        <v>304407.66000000003</v>
      </c>
      <c r="J256" s="41">
        <f t="shared" si="8"/>
        <v>71317.31</v>
      </c>
      <c r="K256" s="41">
        <f t="shared" si="8"/>
        <v>30012.47</v>
      </c>
      <c r="L256" s="41">
        <f t="shared" si="8"/>
        <v>5450214.3699999992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390000</v>
      </c>
      <c r="L259" s="19">
        <f>SUM(F259:K259)</f>
        <v>390000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97500</v>
      </c>
      <c r="L260" s="19">
        <f>SUM(F260:K260)</f>
        <v>97500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f>31500+13500</f>
        <v>45000</v>
      </c>
      <c r="L262" s="19">
        <f>SUM(F262:K262)</f>
        <v>45000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30000</v>
      </c>
      <c r="L265" s="19">
        <f t="shared" si="9"/>
        <v>30000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16350</v>
      </c>
      <c r="L267" s="19">
        <f t="shared" si="9"/>
        <v>16350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578850</v>
      </c>
      <c r="L269" s="41">
        <f t="shared" si="9"/>
        <v>578850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2848691.3500000006</v>
      </c>
      <c r="G270" s="42">
        <f t="shared" si="11"/>
        <v>1241006.92</v>
      </c>
      <c r="H270" s="42">
        <f t="shared" si="11"/>
        <v>954778.65999999992</v>
      </c>
      <c r="I270" s="42">
        <f t="shared" si="11"/>
        <v>304407.66000000003</v>
      </c>
      <c r="J270" s="42">
        <f t="shared" si="11"/>
        <v>71317.31</v>
      </c>
      <c r="K270" s="42">
        <f t="shared" si="11"/>
        <v>608862.47</v>
      </c>
      <c r="L270" s="42">
        <f t="shared" si="11"/>
        <v>6029064.3699999992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>
        <f>2123.86+473.67</f>
        <v>2597.5300000000002</v>
      </c>
      <c r="J275" s="18">
        <f>78.11+1891.8</f>
        <v>1969.9099999999999</v>
      </c>
      <c r="K275" s="18"/>
      <c r="L275" s="19">
        <f>SUM(F275:K275)</f>
        <v>4567.4400000000005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97152.56+20563.08-32.08</f>
        <v>117683.56</v>
      </c>
      <c r="G276" s="18">
        <f>45535+8599.04+10978.1+353</f>
        <v>65465.14</v>
      </c>
      <c r="H276" s="18"/>
      <c r="I276" s="18">
        <f>476.71+1815.12</f>
        <v>2291.83</v>
      </c>
      <c r="J276" s="18"/>
      <c r="K276" s="18">
        <f>275</f>
        <v>275</v>
      </c>
      <c r="L276" s="19">
        <f>SUM(F276:K276)</f>
        <v>185715.53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>
        <f>1756</f>
        <v>1756</v>
      </c>
      <c r="I277" s="18"/>
      <c r="J277" s="18"/>
      <c r="K277" s="18"/>
      <c r="L277" s="19">
        <f>SUM(F277:K277)</f>
        <v>1756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f>336.97+524+2063.25+1132.52</f>
        <v>4056.7400000000002</v>
      </c>
      <c r="G278" s="18">
        <f>65.87+249.79+273.02</f>
        <v>588.67999999999995</v>
      </c>
      <c r="H278" s="18">
        <f>372</f>
        <v>372</v>
      </c>
      <c r="I278" s="18">
        <f>87.19</f>
        <v>87.19</v>
      </c>
      <c r="J278" s="18"/>
      <c r="K278" s="18">
        <f>48+45</f>
        <v>93</v>
      </c>
      <c r="L278" s="19">
        <f>SUM(F278:K278)</f>
        <v>5197.6099999999997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f>2455.73</f>
        <v>2455.73</v>
      </c>
      <c r="G280" s="18">
        <f>187.16</f>
        <v>187.16</v>
      </c>
      <c r="H280" s="18">
        <f>3045+7640+258+2440.95+100+59</f>
        <v>13542.95</v>
      </c>
      <c r="I280" s="18">
        <f>216+1277.99+17032.66</f>
        <v>18526.650000000001</v>
      </c>
      <c r="J280" s="18">
        <f>3621+14008.5</f>
        <v>17629.5</v>
      </c>
      <c r="K280" s="18">
        <v>100</v>
      </c>
      <c r="L280" s="19">
        <f t="shared" ref="L280:L286" si="12">SUM(F280:K280)</f>
        <v>52441.990000000005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472+629+714+5389+4420</f>
        <v>11624</v>
      </c>
      <c r="G281" s="18">
        <f>36+50+48.1+87.72+466.9+627.21+338.12+616.6</f>
        <v>2270.65</v>
      </c>
      <c r="H281" s="18">
        <f>21328+3928.82+4570+480+11400+1500+1581.46+550+125+4570+2163.74+2976.48+704.99+1273.52</f>
        <v>57152.009999999995</v>
      </c>
      <c r="I281" s="18">
        <f>184.85+718</f>
        <v>902.85</v>
      </c>
      <c r="J281" s="18"/>
      <c r="K281" s="18"/>
      <c r="L281" s="19">
        <f t="shared" si="12"/>
        <v>71949.509999999995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f>2500+500</f>
        <v>3000</v>
      </c>
      <c r="G282" s="18">
        <f>191.26+282.49+38.25+41.53</f>
        <v>553.53</v>
      </c>
      <c r="H282" s="18">
        <f>399</f>
        <v>399</v>
      </c>
      <c r="I282" s="18"/>
      <c r="J282" s="18"/>
      <c r="K282" s="18"/>
      <c r="L282" s="19">
        <f t="shared" si="12"/>
        <v>3952.5299999999997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273</v>
      </c>
      <c r="L284" s="19">
        <f t="shared" si="12"/>
        <v>273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f>1236.25</f>
        <v>1236.25</v>
      </c>
      <c r="I286" s="18"/>
      <c r="J286" s="18"/>
      <c r="K286" s="18"/>
      <c r="L286" s="19">
        <f t="shared" si="12"/>
        <v>1236.25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138820.03</v>
      </c>
      <c r="G289" s="42">
        <f t="shared" si="13"/>
        <v>69065.159999999989</v>
      </c>
      <c r="H289" s="42">
        <f t="shared" si="13"/>
        <v>74458.209999999992</v>
      </c>
      <c r="I289" s="42">
        <f t="shared" si="13"/>
        <v>24406.05</v>
      </c>
      <c r="J289" s="42">
        <f t="shared" si="13"/>
        <v>19599.41</v>
      </c>
      <c r="K289" s="42">
        <f t="shared" si="13"/>
        <v>741</v>
      </c>
      <c r="L289" s="41">
        <f t="shared" si="13"/>
        <v>327089.86000000004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>
        <v>927</v>
      </c>
      <c r="J313" s="18"/>
      <c r="K313" s="18">
        <v>73</v>
      </c>
      <c r="L313" s="19">
        <f>SUM(F313:K313)</f>
        <v>1000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>
        <f>1756</f>
        <v>1756</v>
      </c>
      <c r="I319" s="18"/>
      <c r="J319" s="18"/>
      <c r="K319" s="18">
        <f>620</f>
        <v>620</v>
      </c>
      <c r="L319" s="19">
        <f t="shared" si="16"/>
        <v>2376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1756</v>
      </c>
      <c r="I327" s="42">
        <f t="shared" si="17"/>
        <v>927</v>
      </c>
      <c r="J327" s="42">
        <f t="shared" si="17"/>
        <v>0</v>
      </c>
      <c r="K327" s="42">
        <f t="shared" si="17"/>
        <v>693</v>
      </c>
      <c r="L327" s="41">
        <f t="shared" si="17"/>
        <v>3376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138820.03</v>
      </c>
      <c r="G337" s="41">
        <f t="shared" si="20"/>
        <v>69065.159999999989</v>
      </c>
      <c r="H337" s="41">
        <f t="shared" si="20"/>
        <v>76214.209999999992</v>
      </c>
      <c r="I337" s="41">
        <f t="shared" si="20"/>
        <v>25333.05</v>
      </c>
      <c r="J337" s="41">
        <f t="shared" si="20"/>
        <v>19599.41</v>
      </c>
      <c r="K337" s="41">
        <f t="shared" si="20"/>
        <v>1434</v>
      </c>
      <c r="L337" s="41">
        <f t="shared" si="20"/>
        <v>330465.86000000004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138820.03</v>
      </c>
      <c r="G351" s="41">
        <f>G337</f>
        <v>69065.159999999989</v>
      </c>
      <c r="H351" s="41">
        <f>H337</f>
        <v>76214.209999999992</v>
      </c>
      <c r="I351" s="41">
        <f>I337</f>
        <v>25333.05</v>
      </c>
      <c r="J351" s="41">
        <f>J337</f>
        <v>19599.41</v>
      </c>
      <c r="K351" s="47">
        <f>K337+K350</f>
        <v>1434</v>
      </c>
      <c r="L351" s="41">
        <f>L337+L350</f>
        <v>330465.86000000004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60819.3+3369.96</f>
        <v>64189.26</v>
      </c>
      <c r="G357" s="18">
        <f>3132.35+4949.99+159.27+974</f>
        <v>9215.61</v>
      </c>
      <c r="H357" s="18">
        <f>3322.4+17.58</f>
        <v>3339.98</v>
      </c>
      <c r="I357" s="18">
        <f>8758.56+62914.95+2524.49</f>
        <v>74198</v>
      </c>
      <c r="J357" s="18"/>
      <c r="K357" s="18">
        <f>372.83</f>
        <v>372.83</v>
      </c>
      <c r="L357" s="13">
        <f>SUM(F357:K357)</f>
        <v>151315.67999999996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38578.050000000003</v>
      </c>
      <c r="G359" s="18">
        <f>4278.09+2876+78.45+434</f>
        <v>7666.54</v>
      </c>
      <c r="H359" s="18">
        <f>1651.05+8.66</f>
        <v>1659.71</v>
      </c>
      <c r="I359" s="18">
        <f>3178.24+35326.32+1196.82</f>
        <v>39701.379999999997</v>
      </c>
      <c r="J359" s="18">
        <f>5284</f>
        <v>5284</v>
      </c>
      <c r="K359" s="18">
        <v>223.22</v>
      </c>
      <c r="L359" s="19">
        <f>SUM(F359:K359)</f>
        <v>93112.9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102767.31</v>
      </c>
      <c r="G361" s="47">
        <f t="shared" si="22"/>
        <v>16882.150000000001</v>
      </c>
      <c r="H361" s="47">
        <f t="shared" si="22"/>
        <v>4999.6900000000005</v>
      </c>
      <c r="I361" s="47">
        <f t="shared" si="22"/>
        <v>113899.38</v>
      </c>
      <c r="J361" s="47">
        <f t="shared" si="22"/>
        <v>5284</v>
      </c>
      <c r="K361" s="47">
        <f t="shared" si="22"/>
        <v>596.04999999999995</v>
      </c>
      <c r="L361" s="47">
        <f t="shared" si="22"/>
        <v>244428.57999999996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62914.95</v>
      </c>
      <c r="G366" s="18"/>
      <c r="H366" s="18">
        <v>35326.32</v>
      </c>
      <c r="I366" s="56">
        <f>SUM(F366:H366)</f>
        <v>98241.26999999999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8758.56+2524.49</f>
        <v>11283.05</v>
      </c>
      <c r="G367" s="63"/>
      <c r="H367" s="63">
        <f>3178.24+1196.82</f>
        <v>4375.0599999999995</v>
      </c>
      <c r="I367" s="56">
        <f>SUM(F367:H367)</f>
        <v>15658.109999999999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74198</v>
      </c>
      <c r="G368" s="47">
        <f>SUM(G366:G367)</f>
        <v>0</v>
      </c>
      <c r="H368" s="47">
        <f>SUM(H366:H367)</f>
        <v>39701.379999999997</v>
      </c>
      <c r="I368" s="47">
        <f>SUM(I366:I367)</f>
        <v>113899.37999999999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10000</v>
      </c>
      <c r="H395" s="18">
        <v>1070.94</v>
      </c>
      <c r="I395" s="18"/>
      <c r="J395" s="24" t="s">
        <v>289</v>
      </c>
      <c r="K395" s="24" t="s">
        <v>289</v>
      </c>
      <c r="L395" s="56">
        <f t="shared" si="26"/>
        <v>11070.94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20000</v>
      </c>
      <c r="H396" s="18">
        <v>782.47</v>
      </c>
      <c r="I396" s="18"/>
      <c r="J396" s="24" t="s">
        <v>289</v>
      </c>
      <c r="K396" s="24" t="s">
        <v>289</v>
      </c>
      <c r="L396" s="56">
        <f t="shared" si="26"/>
        <v>20782.47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>
        <f>369.14+338.27</f>
        <v>707.41</v>
      </c>
      <c r="I398" s="18"/>
      <c r="J398" s="24" t="s">
        <v>289</v>
      </c>
      <c r="K398" s="24" t="s">
        <v>289</v>
      </c>
      <c r="L398" s="56">
        <f t="shared" si="26"/>
        <v>707.41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f>3339.96+54.23+378.7+174.75+62.75</f>
        <v>4010.39</v>
      </c>
      <c r="I399" s="18"/>
      <c r="J399" s="24" t="s">
        <v>289</v>
      </c>
      <c r="K399" s="24" t="s">
        <v>289</v>
      </c>
      <c r="L399" s="56">
        <f t="shared" si="26"/>
        <v>4010.39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30000</v>
      </c>
      <c r="H400" s="47">
        <f>SUM(H394:H399)</f>
        <v>6571.21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36571.210000000006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30000</v>
      </c>
      <c r="H407" s="47">
        <f>H392+H400+H406</f>
        <v>6571.21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36571.210000000006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>
        <v>0</v>
      </c>
      <c r="K425" s="18">
        <v>20885.009999999998</v>
      </c>
      <c r="L425" s="56">
        <f t="shared" si="29"/>
        <v>20885.009999999998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20885.009999999998</v>
      </c>
      <c r="L426" s="47">
        <f t="shared" si="30"/>
        <v>20885.009999999998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20885.009999999998</v>
      </c>
      <c r="L433" s="47">
        <f t="shared" si="32"/>
        <v>20885.009999999998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f>516663.1-25000+30000+6202.07+369.14</f>
        <v>528234.30999999994</v>
      </c>
      <c r="H438" s="18">
        <v>25000</v>
      </c>
      <c r="I438" s="56">
        <f t="shared" ref="I438:I444" si="33">SUM(F438:H438)</f>
        <v>553234.30999999994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528234.30999999994</v>
      </c>
      <c r="H445" s="13">
        <f>SUM(H438:H444)</f>
        <v>25000</v>
      </c>
      <c r="I445" s="13">
        <f>SUM(I438:I444)</f>
        <v>553234.30999999994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>
        <f>14967.94+5000+917.07</f>
        <v>20885.010000000002</v>
      </c>
      <c r="H447" s="18"/>
      <c r="I447" s="56">
        <f>SUM(F447:H447)</f>
        <v>20885.010000000002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20885.010000000002</v>
      </c>
      <c r="H451" s="72">
        <f>SUM(H447:H450)</f>
        <v>0</v>
      </c>
      <c r="I451" s="72">
        <f>SUM(I447:I450)</f>
        <v>20885.010000000002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f>532349.3-25000</f>
        <v>507349.30000000005</v>
      </c>
      <c r="H458" s="18">
        <v>25000</v>
      </c>
      <c r="I458" s="56">
        <f t="shared" si="34"/>
        <v>532349.30000000005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507349.30000000005</v>
      </c>
      <c r="H459" s="83">
        <f>SUM(H453:H458)</f>
        <v>25000</v>
      </c>
      <c r="I459" s="83">
        <f>SUM(I453:I458)</f>
        <v>532349.30000000005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528234.31000000006</v>
      </c>
      <c r="H460" s="42">
        <f>H451+H459</f>
        <v>25000</v>
      </c>
      <c r="I460" s="42">
        <f>I451+I459</f>
        <v>553234.31000000006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424694.06</v>
      </c>
      <c r="G464" s="18">
        <v>35000.199999999997</v>
      </c>
      <c r="H464" s="18"/>
      <c r="I464" s="18"/>
      <c r="J464" s="18">
        <v>516663.1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6251790.9800000004</v>
      </c>
      <c r="G467" s="18">
        <v>233740.37</v>
      </c>
      <c r="H467" s="18">
        <f>330497.94-32.08</f>
        <v>330465.86</v>
      </c>
      <c r="I467" s="18"/>
      <c r="J467" s="18">
        <f>30000+369.14+6202.07</f>
        <v>36571.21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>
        <v>3052.95</v>
      </c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6251790.9800000004</v>
      </c>
      <c r="G469" s="53">
        <f>SUM(G467:G468)</f>
        <v>236793.32</v>
      </c>
      <c r="H469" s="53">
        <f>SUM(H467:H468)</f>
        <v>330465.86</v>
      </c>
      <c r="I469" s="53">
        <f>SUM(I467:I468)</f>
        <v>0</v>
      </c>
      <c r="J469" s="53">
        <f>SUM(J467:J468)</f>
        <v>36571.21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6029064.3700000001</v>
      </c>
      <c r="G471" s="18">
        <v>244428.58</v>
      </c>
      <c r="H471" s="18">
        <f>330497.94-32.08</f>
        <v>330465.86</v>
      </c>
      <c r="I471" s="18"/>
      <c r="J471" s="18">
        <f>917.07+5000+14967.94</f>
        <v>20885.010000000002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6029064.3700000001</v>
      </c>
      <c r="G473" s="53">
        <f>SUM(G471:G472)</f>
        <v>244428.58</v>
      </c>
      <c r="H473" s="53">
        <f>SUM(H471:H472)</f>
        <v>330465.86</v>
      </c>
      <c r="I473" s="53">
        <f>SUM(I471:I472)</f>
        <v>0</v>
      </c>
      <c r="J473" s="53">
        <f>SUM(J471:J472)</f>
        <v>20885.010000000002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647420.66999999993</v>
      </c>
      <c r="G475" s="53">
        <f>(G464+G469)- G473</f>
        <v>27364.940000000031</v>
      </c>
      <c r="H475" s="53">
        <f>(H464+H469)- H473</f>
        <v>0</v>
      </c>
      <c r="I475" s="53">
        <f>(I464+I469)- I473</f>
        <v>0</v>
      </c>
      <c r="J475" s="53">
        <f>(J464+J469)- J473</f>
        <v>532349.29999999993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69339+172974.48+8085.49+11614.34</f>
        <v>262013.31</v>
      </c>
      <c r="G520" s="18">
        <f>38420.41+19799.76+8759.39+876.86+517</f>
        <v>68373.42</v>
      </c>
      <c r="H520" s="18">
        <f>5434.92+316.89+3193</f>
        <v>8944.8100000000013</v>
      </c>
      <c r="I520" s="18">
        <f>723.84+120.64</f>
        <v>844.48</v>
      </c>
      <c r="J520" s="18">
        <v>87</v>
      </c>
      <c r="K520" s="18"/>
      <c r="L520" s="88">
        <f>SUM(F520:K520)</f>
        <v>340263.01999999996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78314+25900.15</f>
        <v>104214.15</v>
      </c>
      <c r="G522" s="18">
        <f>33440.03+7972.22+8849.6+234.94</f>
        <v>50496.79</v>
      </c>
      <c r="H522" s="18">
        <f>4682.79+14533.06</f>
        <v>19215.849999999999</v>
      </c>
      <c r="I522" s="18">
        <v>140</v>
      </c>
      <c r="J522" s="18">
        <v>134.44</v>
      </c>
      <c r="K522" s="18"/>
      <c r="L522" s="88">
        <f>SUM(F522:K522)</f>
        <v>174201.23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366227.45999999996</v>
      </c>
      <c r="G523" s="108">
        <f t="shared" ref="G523:L523" si="36">SUM(G520:G522)</f>
        <v>118870.20999999999</v>
      </c>
      <c r="H523" s="108">
        <f t="shared" si="36"/>
        <v>28160.66</v>
      </c>
      <c r="I523" s="108">
        <f t="shared" si="36"/>
        <v>984.48</v>
      </c>
      <c r="J523" s="108">
        <f t="shared" si="36"/>
        <v>221.44</v>
      </c>
      <c r="K523" s="108">
        <f t="shared" si="36"/>
        <v>0</v>
      </c>
      <c r="L523" s="89">
        <f t="shared" si="36"/>
        <v>514464.25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16199.17+74185.41+24650.82</f>
        <v>115035.4</v>
      </c>
      <c r="G525" s="18">
        <f>6918.24+192.12+50+1885.76</f>
        <v>9046.119999999999</v>
      </c>
      <c r="H525" s="18">
        <f>31873.38+652.24+26875+232.53</f>
        <v>59633.15</v>
      </c>
      <c r="I525" s="18">
        <f>1546.17+159.65+79.95+178.76</f>
        <v>1964.5300000000002</v>
      </c>
      <c r="J525" s="18">
        <f>172.44+169.9</f>
        <v>342.34000000000003</v>
      </c>
      <c r="K525" s="18">
        <f>544.5+225</f>
        <v>769.5</v>
      </c>
      <c r="L525" s="88">
        <f>SUM(F525:K525)</f>
        <v>186791.03999999998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115035.4</v>
      </c>
      <c r="G528" s="89">
        <f t="shared" ref="G528:L528" si="37">SUM(G525:G527)</f>
        <v>9046.119999999999</v>
      </c>
      <c r="H528" s="89">
        <f t="shared" si="37"/>
        <v>59633.15</v>
      </c>
      <c r="I528" s="89">
        <f t="shared" si="37"/>
        <v>1964.5300000000002</v>
      </c>
      <c r="J528" s="89">
        <f t="shared" si="37"/>
        <v>342.34000000000003</v>
      </c>
      <c r="K528" s="89">
        <f t="shared" si="37"/>
        <v>769.5</v>
      </c>
      <c r="L528" s="89">
        <f t="shared" si="37"/>
        <v>186791.03999999998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45433.82</v>
      </c>
      <c r="I530" s="18"/>
      <c r="J530" s="18"/>
      <c r="K530" s="18"/>
      <c r="L530" s="88">
        <f>SUM(F530:K530)</f>
        <v>45433.82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19471.63</v>
      </c>
      <c r="I532" s="18"/>
      <c r="J532" s="18"/>
      <c r="K532" s="18"/>
      <c r="L532" s="88">
        <f>SUM(F532:K532)</f>
        <v>19471.63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64905.45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64905.45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8894.57</v>
      </c>
      <c r="G540" s="18">
        <f>680.39+59.4</f>
        <v>739.79</v>
      </c>
      <c r="H540" s="18">
        <f>1582.28+897+540</f>
        <v>3019.2799999999997</v>
      </c>
      <c r="I540" s="18">
        <f>93.56+3196.13</f>
        <v>3289.69</v>
      </c>
      <c r="J540" s="18">
        <v>438.84</v>
      </c>
      <c r="K540" s="18">
        <v>101.2</v>
      </c>
      <c r="L540" s="88">
        <f>SUM(F540:K540)</f>
        <v>16483.37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8894.57</v>
      </c>
      <c r="G543" s="194">
        <f t="shared" ref="G543:L543" si="40">SUM(G540:G542)</f>
        <v>739.79</v>
      </c>
      <c r="H543" s="194">
        <f t="shared" si="40"/>
        <v>3019.2799999999997</v>
      </c>
      <c r="I543" s="194">
        <f t="shared" si="40"/>
        <v>3289.69</v>
      </c>
      <c r="J543" s="194">
        <f t="shared" si="40"/>
        <v>438.84</v>
      </c>
      <c r="K543" s="194">
        <f t="shared" si="40"/>
        <v>101.2</v>
      </c>
      <c r="L543" s="194">
        <f t="shared" si="40"/>
        <v>16483.37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490157.43</v>
      </c>
      <c r="G544" s="89">
        <f t="shared" ref="G544:L544" si="41">G523+G528+G533+G538+G543</f>
        <v>128656.11999999998</v>
      </c>
      <c r="H544" s="89">
        <f t="shared" si="41"/>
        <v>155718.54</v>
      </c>
      <c r="I544" s="89">
        <f t="shared" si="41"/>
        <v>6238.7000000000007</v>
      </c>
      <c r="J544" s="89">
        <f t="shared" si="41"/>
        <v>1002.6199999999999</v>
      </c>
      <c r="K544" s="89">
        <f t="shared" si="41"/>
        <v>870.7</v>
      </c>
      <c r="L544" s="89">
        <f t="shared" si="41"/>
        <v>782644.11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340263.01999999996</v>
      </c>
      <c r="G548" s="87">
        <f>L525</f>
        <v>186791.03999999998</v>
      </c>
      <c r="H548" s="87">
        <f>L530</f>
        <v>45433.82</v>
      </c>
      <c r="I548" s="87">
        <f>L535</f>
        <v>0</v>
      </c>
      <c r="J548" s="87">
        <f>L540</f>
        <v>16483.37</v>
      </c>
      <c r="K548" s="87">
        <f>SUM(F548:J548)</f>
        <v>588971.24999999988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174201.23</v>
      </c>
      <c r="G550" s="87">
        <f>L527</f>
        <v>0</v>
      </c>
      <c r="H550" s="87">
        <f>L532</f>
        <v>19471.63</v>
      </c>
      <c r="I550" s="87">
        <f>L537</f>
        <v>0</v>
      </c>
      <c r="J550" s="87">
        <f>L542</f>
        <v>0</v>
      </c>
      <c r="K550" s="87">
        <f>SUM(F550:J550)</f>
        <v>193672.86000000002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514464.25</v>
      </c>
      <c r="G551" s="89">
        <f t="shared" si="42"/>
        <v>186791.03999999998</v>
      </c>
      <c r="H551" s="89">
        <f t="shared" si="42"/>
        <v>64905.45</v>
      </c>
      <c r="I551" s="89">
        <f t="shared" si="42"/>
        <v>0</v>
      </c>
      <c r="J551" s="89">
        <f t="shared" si="42"/>
        <v>16483.37</v>
      </c>
      <c r="K551" s="89">
        <f t="shared" si="42"/>
        <v>782644.10999999987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4682.79</v>
      </c>
      <c r="I578" s="87">
        <f t="shared" si="47"/>
        <v>4682.79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3193</v>
      </c>
      <c r="G581" s="18"/>
      <c r="H581" s="18">
        <v>14533.06</v>
      </c>
      <c r="I581" s="87">
        <f t="shared" si="47"/>
        <v>17726.059999999998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>
        <v>13350</v>
      </c>
      <c r="I584" s="87">
        <f t="shared" si="47"/>
        <v>13350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122336.12</v>
      </c>
      <c r="I590" s="18"/>
      <c r="J590" s="18">
        <v>53363.53</v>
      </c>
      <c r="K590" s="104">
        <f t="shared" ref="K590:K596" si="48">SUM(H590:J590)</f>
        <v>175699.65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16483.37</v>
      </c>
      <c r="I591" s="18"/>
      <c r="J591" s="18"/>
      <c r="K591" s="104">
        <f t="shared" si="48"/>
        <v>16483.37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4330</v>
      </c>
      <c r="I593" s="18"/>
      <c r="J593" s="18">
        <v>17669.5</v>
      </c>
      <c r="K593" s="104">
        <f t="shared" si="48"/>
        <v>21999.5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11017.64</v>
      </c>
      <c r="I594" s="18"/>
      <c r="J594" s="18">
        <v>4375.9799999999996</v>
      </c>
      <c r="K594" s="104">
        <f t="shared" si="48"/>
        <v>15393.619999999999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154167.13</v>
      </c>
      <c r="I597" s="108">
        <f>SUM(I590:I596)</f>
        <v>0</v>
      </c>
      <c r="J597" s="108">
        <f>SUM(J590:J596)</f>
        <v>75409.009999999995</v>
      </c>
      <c r="K597" s="108">
        <f>SUM(K590:K596)</f>
        <v>229576.13999999998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50327.05</v>
      </c>
      <c r="I603" s="18"/>
      <c r="J603" s="18">
        <v>40589.67</v>
      </c>
      <c r="K603" s="104">
        <f>SUM(H603:J603)</f>
        <v>90916.72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50327.05</v>
      </c>
      <c r="I604" s="108">
        <f>SUM(I601:I603)</f>
        <v>0</v>
      </c>
      <c r="J604" s="108">
        <f>SUM(J601:J603)</f>
        <v>40589.67</v>
      </c>
      <c r="K604" s="108">
        <f>SUM(K601:K603)</f>
        <v>90916.72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751928.25</v>
      </c>
      <c r="H616" s="109">
        <f>SUM(F51)</f>
        <v>751928.25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37985.369999999995</v>
      </c>
      <c r="H617" s="109">
        <f>SUM(G51)</f>
        <v>37985.369999999995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99815.5</v>
      </c>
      <c r="H618" s="109">
        <f>SUM(H51)</f>
        <v>99815.5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553234.30999999994</v>
      </c>
      <c r="H620" s="109">
        <f>SUM(J51)</f>
        <v>553234.31000000006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647420.67000000004</v>
      </c>
      <c r="H621" s="109">
        <f>F475</f>
        <v>647420.66999999993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27364.94</v>
      </c>
      <c r="H622" s="109">
        <f>G475</f>
        <v>27364.940000000031</v>
      </c>
      <c r="I622" s="121" t="s">
        <v>102</v>
      </c>
      <c r="J622" s="109">
        <f t="shared" si="50"/>
        <v>-3.2741809263825417E-11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532349.30000000005</v>
      </c>
      <c r="H625" s="109">
        <f>J475</f>
        <v>532349.29999999993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6251790.9799999995</v>
      </c>
      <c r="H626" s="104">
        <f>SUM(F467)</f>
        <v>6251790.9800000004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233740.37</v>
      </c>
      <c r="H627" s="104">
        <f>SUM(G467)</f>
        <v>233740.37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330465.86000000004</v>
      </c>
      <c r="H628" s="104">
        <f>SUM(H467)</f>
        <v>330465.86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36571.21</v>
      </c>
      <c r="H630" s="104">
        <f>SUM(J467)</f>
        <v>36571.21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6029064.3699999992</v>
      </c>
      <c r="H631" s="104">
        <f>SUM(F471)</f>
        <v>6029064.3700000001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330465.86000000004</v>
      </c>
      <c r="H632" s="104">
        <f>SUM(H471)</f>
        <v>330465.86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113899.38</v>
      </c>
      <c r="H633" s="104">
        <f>I368</f>
        <v>113899.37999999999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244428.57999999996</v>
      </c>
      <c r="H634" s="104">
        <f>SUM(G471)</f>
        <v>244428.58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36571.210000000006</v>
      </c>
      <c r="H636" s="164">
        <f>SUM(J467)</f>
        <v>36571.21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20885.009999999998</v>
      </c>
      <c r="H637" s="164">
        <f>SUM(J471)</f>
        <v>20885.010000000002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528234.30999999994</v>
      </c>
      <c r="H639" s="104">
        <f>SUM(G460)</f>
        <v>528234.31000000006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25000</v>
      </c>
      <c r="H640" s="104">
        <f>SUM(H460)</f>
        <v>25000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553234.30999999994</v>
      </c>
      <c r="H641" s="104">
        <f>SUM(I460)</f>
        <v>553234.31000000006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6571.21</v>
      </c>
      <c r="H643" s="104">
        <f>H407</f>
        <v>6571.21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30000</v>
      </c>
      <c r="H644" s="104">
        <f>G407</f>
        <v>30000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36571.21</v>
      </c>
      <c r="H645" s="104">
        <f>L407</f>
        <v>36571.210000000006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229576.13999999998</v>
      </c>
      <c r="H646" s="104">
        <f>L207+L225+L243</f>
        <v>229576.13999999996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90916.72</v>
      </c>
      <c r="H647" s="104">
        <f>(J256+J337)-(J254+J335)</f>
        <v>90916.72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154167.12999999998</v>
      </c>
      <c r="H648" s="104">
        <f>H597</f>
        <v>154167.13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75409.009999999995</v>
      </c>
      <c r="H650" s="104">
        <f>J597</f>
        <v>75409.009999999995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45000</v>
      </c>
      <c r="H651" s="104">
        <f>K262+K344</f>
        <v>45000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30000</v>
      </c>
      <c r="H654" s="104">
        <f>K265+K346</f>
        <v>30000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3710883.77</v>
      </c>
      <c r="G659" s="19">
        <f>(L228+L308+L358)</f>
        <v>0</v>
      </c>
      <c r="H659" s="19">
        <f>(L246+L327+L359)</f>
        <v>2314225.0399999991</v>
      </c>
      <c r="I659" s="19">
        <f>SUM(F659:H659)</f>
        <v>6025108.8099999987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53192.001778214311</v>
      </c>
      <c r="G660" s="19">
        <f>(L358/IF(SUM(L357:L359)=0,1,SUM(L357:L359))*(SUM(G96:G109)))</f>
        <v>0</v>
      </c>
      <c r="H660" s="19">
        <f>(L359/IF(SUM(L357:L359)=0,1,SUM(L357:L359))*(SUM(G96:G109)))</f>
        <v>32731.978221785688</v>
      </c>
      <c r="I660" s="19">
        <f>SUM(F660:H660)</f>
        <v>85923.98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154964.53999999998</v>
      </c>
      <c r="G661" s="19">
        <f>(L225+L305)-(J225+J305)</f>
        <v>0</v>
      </c>
      <c r="H661" s="19">
        <f>(L243+L324)-(J243+J324)</f>
        <v>75409.009999999995</v>
      </c>
      <c r="I661" s="19">
        <f>SUM(F661:H661)</f>
        <v>230373.55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53520.05</v>
      </c>
      <c r="G662" s="200">
        <f>SUM(G574:G586)+SUM(I601:I603)+L611</f>
        <v>0</v>
      </c>
      <c r="H662" s="200">
        <f>SUM(H574:H586)+SUM(J601:J603)+L612</f>
        <v>73155.51999999999</v>
      </c>
      <c r="I662" s="19">
        <f>SUM(F662:H662)</f>
        <v>126675.56999999999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3449207.1782217859</v>
      </c>
      <c r="G663" s="19">
        <f>G659-SUM(G660:G662)</f>
        <v>0</v>
      </c>
      <c r="H663" s="19">
        <f>H659-SUM(H660:H662)</f>
        <v>2132928.5317782136</v>
      </c>
      <c r="I663" s="19">
        <f>I659-SUM(I660:I662)</f>
        <v>5582135.709999999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243.49</v>
      </c>
      <c r="G664" s="249"/>
      <c r="H664" s="249">
        <v>137.46</v>
      </c>
      <c r="I664" s="19">
        <f>SUM(F664:H664)</f>
        <v>380.95000000000005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14165.7</v>
      </c>
      <c r="G666" s="19" t="e">
        <f>ROUND(G663/G664,2)</f>
        <v>#DIV/0!</v>
      </c>
      <c r="H666" s="19">
        <f>ROUND(H663/H664,2)</f>
        <v>15516.72</v>
      </c>
      <c r="I666" s="19">
        <f>ROUND(I663/I664,2)</f>
        <v>14653.2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>
        <v>-2.04</v>
      </c>
      <c r="I669" s="19">
        <f>SUM(F669:H669)</f>
        <v>-2.04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14165.7</v>
      </c>
      <c r="G671" s="19" t="e">
        <f>ROUND((G663+G668)/(G664+G669),2)</f>
        <v>#DIV/0!</v>
      </c>
      <c r="H671" s="19">
        <f>ROUND((H663+H668)/(H664+H669),2)</f>
        <v>15750.47</v>
      </c>
      <c r="I671" s="19">
        <f>ROUND((I663+I668)/(I664+I669),2)</f>
        <v>14732.09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zoomScale="110" zoomScaleNormal="110" workbookViewId="0">
      <selection activeCell="B46" sqref="B46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COLEBROOK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1550066.3499999999</v>
      </c>
      <c r="C9" s="230">
        <f>'DOE25'!G196+'DOE25'!G214+'DOE25'!G232+'DOE25'!G275+'DOE25'!G294+'DOE25'!G313</f>
        <v>798680.4</v>
      </c>
    </row>
    <row r="10" spans="1:3">
      <c r="A10" t="s">
        <v>779</v>
      </c>
      <c r="B10" s="241">
        <v>1473293.79</v>
      </c>
      <c r="C10" s="241">
        <v>792423.44</v>
      </c>
    </row>
    <row r="11" spans="1:3">
      <c r="A11" t="s">
        <v>780</v>
      </c>
      <c r="B11" s="241">
        <f>29810.72+19102.96</f>
        <v>48913.68</v>
      </c>
      <c r="C11" s="241">
        <v>3986.46</v>
      </c>
    </row>
    <row r="12" spans="1:3">
      <c r="A12" t="s">
        <v>781</v>
      </c>
      <c r="B12" s="241">
        <v>27858.880000000001</v>
      </c>
      <c r="C12" s="241">
        <v>2270.5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1550066.3499999999</v>
      </c>
      <c r="C13" s="232">
        <f>SUM(C10:C12)</f>
        <v>798680.39999999991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527495</v>
      </c>
      <c r="C18" s="230">
        <f>'DOE25'!G197+'DOE25'!G215+'DOE25'!G233+'DOE25'!G276+'DOE25'!G295+'DOE25'!G314</f>
        <v>200788.90000000002</v>
      </c>
    </row>
    <row r="19" spans="1:3">
      <c r="A19" t="s">
        <v>779</v>
      </c>
      <c r="B19" s="241">
        <f>147653+97152.56+43551.9</f>
        <v>288357.46000000002</v>
      </c>
      <c r="C19" s="241">
        <v>181299.19</v>
      </c>
    </row>
    <row r="20" spans="1:3">
      <c r="A20" t="s">
        <v>780</v>
      </c>
      <c r="B20" s="241">
        <f>198874.63+8085.49+20563.08</f>
        <v>227523.20000000001</v>
      </c>
      <c r="C20" s="241">
        <v>18543.14</v>
      </c>
    </row>
    <row r="21" spans="1:3">
      <c r="A21" t="s">
        <v>781</v>
      </c>
      <c r="B21" s="241">
        <v>11614.34</v>
      </c>
      <c r="C21" s="241">
        <v>946.57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527495</v>
      </c>
      <c r="C22" s="232">
        <f>SUM(C19:C21)</f>
        <v>200788.90000000002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84529.060000000012</v>
      </c>
      <c r="C36" s="236">
        <f>'DOE25'!G199+'DOE25'!G217+'DOE25'!G235+'DOE25'!G278+'DOE25'!G297+'DOE25'!G316</f>
        <v>11467.61</v>
      </c>
    </row>
    <row r="37" spans="1:3">
      <c r="A37" t="s">
        <v>779</v>
      </c>
      <c r="B37" s="241">
        <f>1317.12+524+2063.25</f>
        <v>3904.37</v>
      </c>
      <c r="C37" s="241">
        <v>4896.7</v>
      </c>
    </row>
    <row r="38" spans="1:3">
      <c r="A38" t="s">
        <v>780</v>
      </c>
      <c r="B38" s="241">
        <f>336.97+1132.52</f>
        <v>1469.49</v>
      </c>
      <c r="C38" s="241">
        <v>119.76</v>
      </c>
    </row>
    <row r="39" spans="1:3">
      <c r="A39" t="s">
        <v>781</v>
      </c>
      <c r="B39" s="241">
        <f>23123.2+51576+4456</f>
        <v>79155.199999999997</v>
      </c>
      <c r="C39" s="241">
        <v>6451.15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84529.06</v>
      </c>
      <c r="C40" s="232">
        <f>SUM(C37:C39)</f>
        <v>11467.61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COLEBROOK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3155841.6399999997</v>
      </c>
      <c r="D5" s="20">
        <f>SUM('DOE25'!L196:L199)+SUM('DOE25'!L214:L217)+SUM('DOE25'!L232:L235)-F5-G5</f>
        <v>3141851.17</v>
      </c>
      <c r="E5" s="244"/>
      <c r="F5" s="256">
        <f>SUM('DOE25'!J196:J199)+SUM('DOE25'!J214:J217)+SUM('DOE25'!J232:J235)</f>
        <v>5897.32</v>
      </c>
      <c r="G5" s="53">
        <f>SUM('DOE25'!K196:K199)+SUM('DOE25'!K214:K217)+SUM('DOE25'!K232:K235)</f>
        <v>8093.1500000000005</v>
      </c>
      <c r="H5" s="260"/>
    </row>
    <row r="6" spans="1:9">
      <c r="A6" s="32">
        <v>2100</v>
      </c>
      <c r="B6" t="s">
        <v>801</v>
      </c>
      <c r="C6" s="246">
        <f t="shared" si="0"/>
        <v>644281.46000000008</v>
      </c>
      <c r="D6" s="20">
        <f>'DOE25'!L201+'DOE25'!L219+'DOE25'!L237-F6-G6</f>
        <v>586324.22000000009</v>
      </c>
      <c r="E6" s="244"/>
      <c r="F6" s="256">
        <f>'DOE25'!J201+'DOE25'!J219+'DOE25'!J237</f>
        <v>51737.04</v>
      </c>
      <c r="G6" s="53">
        <f>'DOE25'!K201+'DOE25'!K219+'DOE25'!K237</f>
        <v>6220.1999999999989</v>
      </c>
      <c r="H6" s="260"/>
    </row>
    <row r="7" spans="1:9">
      <c r="A7" s="32">
        <v>2200</v>
      </c>
      <c r="B7" t="s">
        <v>834</v>
      </c>
      <c r="C7" s="246">
        <f t="shared" si="0"/>
        <v>112216.07</v>
      </c>
      <c r="D7" s="20">
        <f>'DOE25'!L202+'DOE25'!L220+'DOE25'!L238-F7-G7</f>
        <v>104642.07</v>
      </c>
      <c r="E7" s="244"/>
      <c r="F7" s="256">
        <f>'DOE25'!J202+'DOE25'!J220+'DOE25'!J238</f>
        <v>278</v>
      </c>
      <c r="G7" s="53">
        <f>'DOE25'!K202+'DOE25'!K220+'DOE25'!K238</f>
        <v>7296</v>
      </c>
      <c r="H7" s="260"/>
    </row>
    <row r="8" spans="1:9">
      <c r="A8" s="32">
        <v>2300</v>
      </c>
      <c r="B8" t="s">
        <v>802</v>
      </c>
      <c r="C8" s="246">
        <f t="shared" si="0"/>
        <v>175835.57</v>
      </c>
      <c r="D8" s="244"/>
      <c r="E8" s="20">
        <f>'DOE25'!L203+'DOE25'!L221+'DOE25'!L239-F8-G8-D9-D11</f>
        <v>169975.71000000002</v>
      </c>
      <c r="F8" s="256">
        <f>'DOE25'!J203+'DOE25'!J221+'DOE25'!J239</f>
        <v>0</v>
      </c>
      <c r="G8" s="53">
        <f>'DOE25'!K203+'DOE25'!K221+'DOE25'!K239</f>
        <v>5859.8600000000006</v>
      </c>
      <c r="H8" s="260"/>
    </row>
    <row r="9" spans="1:9">
      <c r="A9" s="32">
        <v>2310</v>
      </c>
      <c r="B9" t="s">
        <v>818</v>
      </c>
      <c r="C9" s="246">
        <f t="shared" si="0"/>
        <v>48416.5</v>
      </c>
      <c r="D9" s="245">
        <f>17624.95+30791.55</f>
        <v>48416.5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10800</v>
      </c>
      <c r="D10" s="244"/>
      <c r="E10" s="245">
        <v>10800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83722.929999999993</v>
      </c>
      <c r="D11" s="245">
        <v>83722.929999999993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363034.63</v>
      </c>
      <c r="D12" s="20">
        <f>'DOE25'!L204+'DOE25'!L222+'DOE25'!L240-F12-G12</f>
        <v>360309.07</v>
      </c>
      <c r="E12" s="244"/>
      <c r="F12" s="256">
        <f>'DOE25'!J204+'DOE25'!J222+'DOE25'!J240</f>
        <v>538</v>
      </c>
      <c r="G12" s="53">
        <f>'DOE25'!K204+'DOE25'!K222+'DOE25'!K240</f>
        <v>2187.56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637289.43000000005</v>
      </c>
      <c r="D14" s="20">
        <f>'DOE25'!L206+'DOE25'!L224+'DOE25'!L242-F14-G14</f>
        <v>624606.82000000007</v>
      </c>
      <c r="E14" s="244"/>
      <c r="F14" s="256">
        <f>'DOE25'!J206+'DOE25'!J224+'DOE25'!J242</f>
        <v>12428.11</v>
      </c>
      <c r="G14" s="53">
        <f>'DOE25'!K206+'DOE25'!K224+'DOE25'!K242</f>
        <v>254.5</v>
      </c>
      <c r="H14" s="260"/>
    </row>
    <row r="15" spans="1:9">
      <c r="A15" s="32">
        <v>2700</v>
      </c>
      <c r="B15" t="s">
        <v>804</v>
      </c>
      <c r="C15" s="246">
        <f t="shared" si="0"/>
        <v>229576.13999999996</v>
      </c>
      <c r="D15" s="20">
        <f>'DOE25'!L207+'DOE25'!L225+'DOE25'!L243-F15-G15</f>
        <v>229036.09999999995</v>
      </c>
      <c r="E15" s="244"/>
      <c r="F15" s="256">
        <f>'DOE25'!J207+'DOE25'!J225+'DOE25'!J243</f>
        <v>438.84</v>
      </c>
      <c r="G15" s="53">
        <f>'DOE25'!K207+'DOE25'!K225+'DOE25'!K243</f>
        <v>101.2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487500</v>
      </c>
      <c r="D25" s="244"/>
      <c r="E25" s="244"/>
      <c r="F25" s="259"/>
      <c r="G25" s="257"/>
      <c r="H25" s="258">
        <f>'DOE25'!L259+'DOE25'!L260+'DOE25'!L340+'DOE25'!L341</f>
        <v>487500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146187.30999999997</v>
      </c>
      <c r="D29" s="20">
        <f>'DOE25'!L357+'DOE25'!L358+'DOE25'!L359-'DOE25'!I366-F29-G29</f>
        <v>140307.25999999998</v>
      </c>
      <c r="E29" s="244"/>
      <c r="F29" s="256">
        <f>'DOE25'!J357+'DOE25'!J358+'DOE25'!J359</f>
        <v>5284</v>
      </c>
      <c r="G29" s="53">
        <f>'DOE25'!K357+'DOE25'!K358+'DOE25'!K359</f>
        <v>596.04999999999995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330465.86000000004</v>
      </c>
      <c r="D31" s="20">
        <f>'DOE25'!L289+'DOE25'!L308+'DOE25'!L327+'DOE25'!L332+'DOE25'!L333+'DOE25'!L334-F31-G31</f>
        <v>309432.45000000007</v>
      </c>
      <c r="E31" s="244"/>
      <c r="F31" s="256">
        <f>'DOE25'!J289+'DOE25'!J308+'DOE25'!J327+'DOE25'!J332+'DOE25'!J333+'DOE25'!J334</f>
        <v>19599.41</v>
      </c>
      <c r="G31" s="53">
        <f>'DOE25'!K289+'DOE25'!K308+'DOE25'!K327+'DOE25'!K332+'DOE25'!K333+'DOE25'!K334</f>
        <v>1434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5628648.5899999999</v>
      </c>
      <c r="E33" s="247">
        <f>SUM(E5:E31)</f>
        <v>180775.71000000002</v>
      </c>
      <c r="F33" s="247">
        <f>SUM(F5:F31)</f>
        <v>96200.72</v>
      </c>
      <c r="G33" s="247">
        <f>SUM(G5:G31)</f>
        <v>32042.52</v>
      </c>
      <c r="H33" s="247">
        <f>SUM(H5:H31)</f>
        <v>487500</v>
      </c>
    </row>
    <row r="35" spans="2:8" ht="12" thickBot="1">
      <c r="B35" s="254" t="s">
        <v>847</v>
      </c>
      <c r="D35" s="255">
        <f>E33</f>
        <v>180775.71000000002</v>
      </c>
      <c r="E35" s="250"/>
    </row>
    <row r="36" spans="2:8" ht="12" thickTop="1">
      <c r="B36" t="s">
        <v>815</v>
      </c>
      <c r="D36" s="20">
        <f>D33</f>
        <v>5628648.5899999999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P136" sqref="P136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COLEBROOK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518491.32</v>
      </c>
      <c r="D8" s="95">
        <f>'DOE25'!G9</f>
        <v>8402.57</v>
      </c>
      <c r="E8" s="95">
        <f>'DOE25'!H9</f>
        <v>0</v>
      </c>
      <c r="F8" s="95">
        <f>'DOE25'!I9</f>
        <v>0</v>
      </c>
      <c r="G8" s="95">
        <f>'DOE25'!J9</f>
        <v>553234.30999999994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104315.58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128296.56</v>
      </c>
      <c r="D12" s="95">
        <f>'DOE25'!G13</f>
        <v>18817.57</v>
      </c>
      <c r="E12" s="95">
        <f>'DOE25'!H13</f>
        <v>99815.5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824.79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10765.23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751928.25</v>
      </c>
      <c r="D18" s="41">
        <f>SUM(D8:D17)</f>
        <v>37985.369999999995</v>
      </c>
      <c r="E18" s="41">
        <f>SUM(E8:E17)</f>
        <v>99815.5</v>
      </c>
      <c r="F18" s="41">
        <f>SUM(F8:F17)</f>
        <v>0</v>
      </c>
      <c r="G18" s="41">
        <f>SUM(G8:G17)</f>
        <v>553234.30999999994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8433.08</v>
      </c>
      <c r="E21" s="95">
        <f>'DOE25'!H22</f>
        <v>95882.5</v>
      </c>
      <c r="F21" s="95">
        <f>'DOE25'!I22</f>
        <v>0</v>
      </c>
      <c r="G21" s="95">
        <f>'DOE25'!J22</f>
        <v>20885.010000000002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61399.1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0</v>
      </c>
      <c r="D23" s="95">
        <f>'DOE25'!G24</f>
        <v>2187.35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9416.5300000000007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15859.46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17832.490000000002</v>
      </c>
      <c r="D29" s="95">
        <f>'DOE25'!G30</f>
        <v>0</v>
      </c>
      <c r="E29" s="95">
        <f>'DOE25'!H30</f>
        <v>3933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104507.58</v>
      </c>
      <c r="D31" s="41">
        <f>SUM(D21:D30)</f>
        <v>10620.43</v>
      </c>
      <c r="E31" s="41">
        <f>SUM(E21:E30)</f>
        <v>99815.5</v>
      </c>
      <c r="F31" s="41">
        <f>SUM(F21:F30)</f>
        <v>0</v>
      </c>
      <c r="G31" s="41">
        <f>SUM(G21:G30)</f>
        <v>20885.010000000002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10765.23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16599.71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24235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532349.30000000005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623185.67000000004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647420.67000000004</v>
      </c>
      <c r="D49" s="41">
        <f>SUM(D34:D48)</f>
        <v>27364.94</v>
      </c>
      <c r="E49" s="41">
        <f>SUM(E34:E48)</f>
        <v>0</v>
      </c>
      <c r="F49" s="41">
        <f>SUM(F34:F48)</f>
        <v>0</v>
      </c>
      <c r="G49" s="41">
        <f>SUM(G34:G48)</f>
        <v>532349.30000000005</v>
      </c>
      <c r="H49" s="124"/>
      <c r="I49" s="124"/>
    </row>
    <row r="50" spans="1:9" ht="12" thickTop="1">
      <c r="A50" s="38" t="s">
        <v>895</v>
      </c>
      <c r="B50" s="2"/>
      <c r="C50" s="41">
        <f>C49+C31</f>
        <v>751928.25</v>
      </c>
      <c r="D50" s="41">
        <f>D49+D31</f>
        <v>37985.369999999995</v>
      </c>
      <c r="E50" s="41">
        <f>E49+E31</f>
        <v>99815.5</v>
      </c>
      <c r="F50" s="41">
        <f>F49+F31</f>
        <v>0</v>
      </c>
      <c r="G50" s="41">
        <f>G49+G31</f>
        <v>553234.31000000006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1653347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1718187.4100000001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338.73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6571.21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85923.98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142858.09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1861384.2300000002</v>
      </c>
      <c r="D61" s="130">
        <f>SUM(D56:D60)</f>
        <v>85923.98</v>
      </c>
      <c r="E61" s="130">
        <f>SUM(E56:E60)</f>
        <v>0</v>
      </c>
      <c r="F61" s="130">
        <f>SUM(F56:F60)</f>
        <v>0</v>
      </c>
      <c r="G61" s="130">
        <f>SUM(G56:G60)</f>
        <v>6571.21</v>
      </c>
      <c r="H61"/>
      <c r="I61"/>
    </row>
    <row r="62" spans="1:9" ht="12" thickTop="1">
      <c r="A62" s="29" t="s">
        <v>175</v>
      </c>
      <c r="B62" s="6"/>
      <c r="C62" s="22">
        <f>C55+C61</f>
        <v>3514731.2300000004</v>
      </c>
      <c r="D62" s="22">
        <f>D55+D61</f>
        <v>85923.98</v>
      </c>
      <c r="E62" s="22">
        <f>E55+E61</f>
        <v>0</v>
      </c>
      <c r="F62" s="22">
        <f>F55+F61</f>
        <v>0</v>
      </c>
      <c r="G62" s="22">
        <f>G55+G61</f>
        <v>6571.21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2067203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367272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1789.55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2436264.5499999998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206722.77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11050.46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4170.32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5087.32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221943.55</v>
      </c>
      <c r="D77" s="130">
        <f>SUM(D71:D76)</f>
        <v>5087.32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2658208.0999999996</v>
      </c>
      <c r="D80" s="130">
        <f>SUM(D78:D79)+D77+D69</f>
        <v>5087.32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51102.719999999994</v>
      </c>
      <c r="D84" s="95">
        <f>'DOE25'!G146</f>
        <v>0</v>
      </c>
      <c r="E84" s="95">
        <f>'DOE25'!H146</f>
        <v>10329.710000000001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6863.92</v>
      </c>
      <c r="D87" s="95">
        <f>SUM('DOE25'!G152:G160)</f>
        <v>97729.07</v>
      </c>
      <c r="E87" s="95">
        <f>SUM('DOE25'!H152:H160)</f>
        <v>320136.15000000002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57966.639999999992</v>
      </c>
      <c r="D90" s="131">
        <f>SUM(D84:D89)</f>
        <v>97729.07</v>
      </c>
      <c r="E90" s="131">
        <f>SUM(E84:E89)</f>
        <v>330465.86000000004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45000</v>
      </c>
      <c r="E95" s="95">
        <f>'DOE25'!H178</f>
        <v>0</v>
      </c>
      <c r="F95" s="95">
        <f>'DOE25'!I178</f>
        <v>0</v>
      </c>
      <c r="G95" s="95">
        <f>'DOE25'!J178</f>
        <v>30000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20885.009999999998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20885.009999999998</v>
      </c>
      <c r="D102" s="86">
        <f>SUM(D92:D101)</f>
        <v>45000</v>
      </c>
      <c r="E102" s="86">
        <f>SUM(E92:E101)</f>
        <v>0</v>
      </c>
      <c r="F102" s="86">
        <f>SUM(F92:F101)</f>
        <v>0</v>
      </c>
      <c r="G102" s="86">
        <f>SUM(G92:G101)</f>
        <v>30000</v>
      </c>
    </row>
    <row r="103" spans="1:7" ht="12.75" thickTop="1" thickBot="1">
      <c r="A103" s="33" t="s">
        <v>765</v>
      </c>
      <c r="C103" s="86">
        <f>C62+C80+C90+C102</f>
        <v>6251790.9799999995</v>
      </c>
      <c r="D103" s="86">
        <f>D62+D80+D90+D102</f>
        <v>233740.37</v>
      </c>
      <c r="E103" s="86">
        <f>E62+E80+E90+E102</f>
        <v>330465.86000000004</v>
      </c>
      <c r="F103" s="86">
        <f>F62+F80+F90+F102</f>
        <v>0</v>
      </c>
      <c r="G103" s="86">
        <f>G62+G80+G102</f>
        <v>36571.21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2454693.42</v>
      </c>
      <c r="D108" s="24" t="s">
        <v>289</v>
      </c>
      <c r="E108" s="95">
        <f>('DOE25'!L275)+('DOE25'!L294)+('DOE25'!L313)</f>
        <v>5567.4400000000005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575176.12000000011</v>
      </c>
      <c r="D109" s="24" t="s">
        <v>289</v>
      </c>
      <c r="E109" s="95">
        <f>('DOE25'!L276)+('DOE25'!L295)+('DOE25'!L314)</f>
        <v>185715.53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13350</v>
      </c>
      <c r="D110" s="24" t="s">
        <v>289</v>
      </c>
      <c r="E110" s="95">
        <f>('DOE25'!L277)+('DOE25'!L296)+('DOE25'!L315)</f>
        <v>1756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112622.09999999999</v>
      </c>
      <c r="D111" s="24" t="s">
        <v>289</v>
      </c>
      <c r="E111" s="95">
        <f>+('DOE25'!L278)+('DOE25'!L297)+('DOE25'!L316)</f>
        <v>5197.6099999999997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3155841.64</v>
      </c>
      <c r="D114" s="86">
        <f>SUM(D108:D113)</f>
        <v>0</v>
      </c>
      <c r="E114" s="86">
        <f>SUM(E108:E113)</f>
        <v>198236.58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644281.46000000008</v>
      </c>
      <c r="D117" s="24" t="s">
        <v>289</v>
      </c>
      <c r="E117" s="95">
        <f>+('DOE25'!L280)+('DOE25'!L299)+('DOE25'!L318)</f>
        <v>52441.990000000005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112216.07</v>
      </c>
      <c r="D118" s="24" t="s">
        <v>289</v>
      </c>
      <c r="E118" s="95">
        <f>+('DOE25'!L281)+('DOE25'!L300)+('DOE25'!L319)</f>
        <v>74325.509999999995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307975</v>
      </c>
      <c r="D119" s="24" t="s">
        <v>289</v>
      </c>
      <c r="E119" s="95">
        <f>+('DOE25'!L282)+('DOE25'!L301)+('DOE25'!L320)</f>
        <v>3952.5299999999997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363034.63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273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637289.43000000005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229576.13999999996</v>
      </c>
      <c r="D123" s="24" t="s">
        <v>289</v>
      </c>
      <c r="E123" s="95">
        <f>+('DOE25'!L286)+('DOE25'!L305)+('DOE25'!L324)</f>
        <v>1236.25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244428.57999999996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2294372.7300000004</v>
      </c>
      <c r="D127" s="86">
        <f>SUM(D117:D126)</f>
        <v>244428.57999999996</v>
      </c>
      <c r="E127" s="86">
        <f>SUM(E117:E126)</f>
        <v>132229.28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390000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97500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20885.009999999998</v>
      </c>
    </row>
    <row r="134" spans="1:7">
      <c r="A134" t="s">
        <v>233</v>
      </c>
      <c r="B134" s="32" t="s">
        <v>234</v>
      </c>
      <c r="C134" s="95">
        <f>'DOE25'!L262</f>
        <v>45000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36571.210000000006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-6571.2100000000064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16350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578850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20885.009999999998</v>
      </c>
    </row>
    <row r="144" spans="1:7" ht="12.75" thickTop="1" thickBot="1">
      <c r="A144" s="33" t="s">
        <v>244</v>
      </c>
      <c r="C144" s="86">
        <f>(C114+C127+C143)</f>
        <v>6029064.370000001</v>
      </c>
      <c r="D144" s="86">
        <f>(D114+D127+D143)</f>
        <v>244428.57999999996</v>
      </c>
      <c r="E144" s="86">
        <f>(E114+E127+E143)</f>
        <v>330465.86</v>
      </c>
      <c r="F144" s="86">
        <f>(F114+F127+F143)</f>
        <v>0</v>
      </c>
      <c r="G144" s="86">
        <f>(G114+G127+G143)</f>
        <v>20885.009999999998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COLEBROOK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14166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15750</v>
      </c>
    </row>
    <row r="7" spans="1:4">
      <c r="B7" t="s">
        <v>705</v>
      </c>
      <c r="C7" s="179">
        <f>IF('DOE25'!I664+'DOE25'!I669=0,0,ROUND('DOE25'!I671,0))</f>
        <v>14732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2460261</v>
      </c>
      <c r="D10" s="182">
        <f>ROUND((C10/$C$28)*100,1)</f>
        <v>40.6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760892</v>
      </c>
      <c r="D11" s="182">
        <f>ROUND((C11/$C$28)*100,1)</f>
        <v>12.6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15106</v>
      </c>
      <c r="D12" s="182">
        <f>ROUND((C12/$C$28)*100,1)</f>
        <v>0.2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117820</v>
      </c>
      <c r="D13" s="182">
        <f>ROUND((C13/$C$28)*100,1)</f>
        <v>1.9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696723</v>
      </c>
      <c r="D15" s="182">
        <f t="shared" ref="D15:D27" si="0">ROUND((C15/$C$28)*100,1)</f>
        <v>11.5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186542</v>
      </c>
      <c r="D16" s="182">
        <f t="shared" si="0"/>
        <v>3.1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311928</v>
      </c>
      <c r="D17" s="182">
        <f t="shared" si="0"/>
        <v>5.2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363035</v>
      </c>
      <c r="D18" s="182">
        <f t="shared" si="0"/>
        <v>6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273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637289</v>
      </c>
      <c r="D20" s="182">
        <f t="shared" si="0"/>
        <v>10.5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230812</v>
      </c>
      <c r="D21" s="182">
        <f t="shared" si="0"/>
        <v>3.8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97500</v>
      </c>
      <c r="D25" s="182">
        <f t="shared" si="0"/>
        <v>1.6</v>
      </c>
    </row>
    <row r="26" spans="1:4">
      <c r="A26" s="183" t="s">
        <v>721</v>
      </c>
      <c r="B26" t="s">
        <v>722</v>
      </c>
      <c r="C26" s="179">
        <f>'DOE25'!L267+'DOE25'!L268+'DOE25'!L348+'DOE25'!L349</f>
        <v>16350</v>
      </c>
      <c r="D26" s="182">
        <f t="shared" si="0"/>
        <v>0.3</v>
      </c>
    </row>
    <row r="27" spans="1:4">
      <c r="A27">
        <v>3100</v>
      </c>
      <c r="B27" t="s">
        <v>11</v>
      </c>
      <c r="C27" s="179">
        <f>ROUND('DOE25'!L361-'DOE25'!L360,0)-SUM('DOE25'!G96:G109)</f>
        <v>158505.02000000002</v>
      </c>
      <c r="D27" s="182">
        <f t="shared" si="0"/>
        <v>2.6</v>
      </c>
    </row>
    <row r="28" spans="1:4">
      <c r="B28" s="187" t="s">
        <v>723</v>
      </c>
      <c r="C28" s="180">
        <f>SUM(C10:C27)</f>
        <v>6053036.0199999996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6053036.0199999996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390000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1653347</v>
      </c>
      <c r="D35" s="182">
        <f t="shared" ref="D35:D40" si="1">ROUND((C35/$C$41)*100,1)</f>
        <v>24.8</v>
      </c>
    </row>
    <row r="36" spans="1:4">
      <c r="B36" s="185" t="s">
        <v>743</v>
      </c>
      <c r="C36" s="179">
        <f>SUM('DOE25'!F111:J111)-SUM('DOE25'!G96:G109)+('DOE25'!F173+'DOE25'!F174+'DOE25'!I173+'DOE25'!I174)-C35</f>
        <v>1867955.44</v>
      </c>
      <c r="D36" s="182">
        <f t="shared" si="1"/>
        <v>28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2436265</v>
      </c>
      <c r="D37" s="182">
        <f t="shared" si="1"/>
        <v>36.5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227031</v>
      </c>
      <c r="D38" s="182">
        <f t="shared" si="1"/>
        <v>3.4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486162</v>
      </c>
      <c r="D39" s="182">
        <f t="shared" si="1"/>
        <v>7.3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6670760.4399999995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90" t="str">
        <f>'DOE25'!A2</f>
        <v>COLEBROOK SCHOOL DISTRICT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2"/>
      <c r="O29" s="212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>
      <c r="A30" s="219"/>
      <c r="B30" s="220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2"/>
      <c r="O30" s="212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>
      <c r="A31" s="219"/>
      <c r="B31" s="220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2"/>
      <c r="O31" s="212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>
      <c r="A32" s="219"/>
      <c r="B32" s="220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9"/>
      <c r="AO32" s="220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9"/>
      <c r="BB32" s="220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9"/>
      <c r="BO32" s="220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9"/>
      <c r="CB32" s="220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9"/>
      <c r="CO32" s="220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9"/>
      <c r="DB32" s="220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9"/>
      <c r="DO32" s="220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9"/>
      <c r="EB32" s="220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9"/>
      <c r="EO32" s="220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9"/>
      <c r="FB32" s="220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9"/>
      <c r="FO32" s="220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9"/>
      <c r="GB32" s="220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9"/>
      <c r="GO32" s="220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9"/>
      <c r="HB32" s="220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9"/>
      <c r="HO32" s="220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9"/>
      <c r="IB32" s="220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9"/>
      <c r="IO32" s="220"/>
      <c r="IP32" s="284"/>
      <c r="IQ32" s="284"/>
      <c r="IR32" s="284"/>
      <c r="IS32" s="284"/>
      <c r="IT32" s="284"/>
      <c r="IU32" s="284"/>
      <c r="IV32" s="284"/>
    </row>
    <row r="33" spans="1:256">
      <c r="A33" s="219"/>
      <c r="B33" s="220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2"/>
      <c r="O38" s="212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>
      <c r="A39" s="219"/>
      <c r="B39" s="220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2"/>
      <c r="O39" s="212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>
      <c r="A40" s="219"/>
      <c r="B40" s="220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2"/>
      <c r="O40" s="212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>
      <c r="A41" s="219"/>
      <c r="B41" s="220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>
      <c r="A60" s="219"/>
      <c r="B60" s="220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>
      <c r="A61" s="219"/>
      <c r="B61" s="220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>
      <c r="A62" s="219"/>
      <c r="B62" s="220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>
      <c r="A63" s="219"/>
      <c r="B63" s="220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>
      <c r="A64" s="219"/>
      <c r="B64" s="220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>
      <c r="A65" s="219"/>
      <c r="B65" s="220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>
      <c r="A66" s="219"/>
      <c r="B66" s="220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>
      <c r="A67" s="219"/>
      <c r="B67" s="220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>
      <c r="A68" s="219"/>
      <c r="B68" s="220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>
      <c r="A69" s="219"/>
      <c r="B69" s="220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>
      <c r="A70" s="221"/>
      <c r="B70" s="222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2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3" t="s">
        <v>848</v>
      </c>
      <c r="B72" s="283"/>
      <c r="C72" s="283"/>
      <c r="D72" s="283"/>
      <c r="E72" s="283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F0A" sheet="1" objects="1" scenarios="1"/>
  <mergeCells count="223">
    <mergeCell ref="P39:Z39"/>
    <mergeCell ref="AC39:AM39"/>
    <mergeCell ref="AP39:AZ39"/>
    <mergeCell ref="P40:Z40"/>
    <mergeCell ref="AC40:AM40"/>
    <mergeCell ref="IC40:IM40"/>
    <mergeCell ref="C51:M51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EP40:EZ40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BC38:BM38"/>
    <mergeCell ref="CC39:CM39"/>
    <mergeCell ref="CP39:CZ39"/>
    <mergeCell ref="IP39:IV39"/>
    <mergeCell ref="EP39:EZ39"/>
    <mergeCell ref="FC39:FM39"/>
    <mergeCell ref="FP39:FZ39"/>
    <mergeCell ref="GP39:GZ39"/>
    <mergeCell ref="FC38:FM38"/>
    <mergeCell ref="FP38:FZ38"/>
    <mergeCell ref="GC38:GM38"/>
    <mergeCell ref="GP38:GZ38"/>
    <mergeCell ref="HC38:HM38"/>
    <mergeCell ref="HP38:HZ38"/>
    <mergeCell ref="HP39:HZ39"/>
    <mergeCell ref="IC39:IM39"/>
    <mergeCell ref="HC39:HM39"/>
    <mergeCell ref="DC39:DM39"/>
    <mergeCell ref="DP39:DZ39"/>
    <mergeCell ref="EC39:EM39"/>
    <mergeCell ref="GC39:GM39"/>
    <mergeCell ref="IC38:IM38"/>
    <mergeCell ref="HC32:HM32"/>
    <mergeCell ref="DP32:DZ32"/>
    <mergeCell ref="EC32:EM32"/>
    <mergeCell ref="EP32:EZ32"/>
    <mergeCell ref="FP32:FZ32"/>
    <mergeCell ref="GC32:GM32"/>
    <mergeCell ref="GP32:GZ32"/>
    <mergeCell ref="IP38:IV38"/>
    <mergeCell ref="BP39:BZ39"/>
    <mergeCell ref="BP38:BZ38"/>
    <mergeCell ref="CC38:CM38"/>
    <mergeCell ref="CC32:CM32"/>
    <mergeCell ref="CP38:CZ38"/>
    <mergeCell ref="DC38:DM38"/>
    <mergeCell ref="DP38:DZ38"/>
    <mergeCell ref="EC38:EM38"/>
    <mergeCell ref="EP38:EZ38"/>
    <mergeCell ref="BP32:BZ32"/>
    <mergeCell ref="CP32:CZ32"/>
    <mergeCell ref="DC32:DM32"/>
    <mergeCell ref="HP32:HZ32"/>
    <mergeCell ref="IC32:IM32"/>
    <mergeCell ref="IP32:IV32"/>
    <mergeCell ref="FC32:FM32"/>
    <mergeCell ref="EC30:EM30"/>
    <mergeCell ref="EP30:EZ30"/>
    <mergeCell ref="BC30:BM30"/>
    <mergeCell ref="BP30:BZ30"/>
    <mergeCell ref="GP31:GZ31"/>
    <mergeCell ref="HC31:HM31"/>
    <mergeCell ref="HP31:HZ31"/>
    <mergeCell ref="IC31:IM31"/>
    <mergeCell ref="IP31:IV31"/>
    <mergeCell ref="DP31:DZ31"/>
    <mergeCell ref="EC31:EM31"/>
    <mergeCell ref="EP31:EZ31"/>
    <mergeCell ref="FC31:FM31"/>
    <mergeCell ref="FP31:FZ31"/>
    <mergeCell ref="GC31:GM31"/>
    <mergeCell ref="P32:Z32"/>
    <mergeCell ref="AP38:AZ38"/>
    <mergeCell ref="C34:M34"/>
    <mergeCell ref="C35:M35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HP29:HZ29"/>
    <mergeCell ref="IC29:IM29"/>
    <mergeCell ref="IP29:IV29"/>
    <mergeCell ref="DC29:DM29"/>
    <mergeCell ref="DP29:DZ29"/>
    <mergeCell ref="EC29:EM29"/>
    <mergeCell ref="EP29:EZ29"/>
    <mergeCell ref="FC29:FM29"/>
    <mergeCell ref="FP29:FZ29"/>
    <mergeCell ref="AC32:AM32"/>
    <mergeCell ref="AP32:AZ32"/>
    <mergeCell ref="P38:Z38"/>
    <mergeCell ref="AC38:AM38"/>
    <mergeCell ref="C42:M42"/>
    <mergeCell ref="C36:M36"/>
    <mergeCell ref="GC29:GM29"/>
    <mergeCell ref="GP29:GZ29"/>
    <mergeCell ref="HC29:HM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C32:M32"/>
    <mergeCell ref="C30:M30"/>
    <mergeCell ref="C31:M31"/>
    <mergeCell ref="P31:Z31"/>
    <mergeCell ref="AC31:AM31"/>
    <mergeCell ref="AP31:AZ31"/>
    <mergeCell ref="BC29:BM29"/>
    <mergeCell ref="BP29:BZ29"/>
    <mergeCell ref="CC29:CM29"/>
    <mergeCell ref="CP29:CZ29"/>
    <mergeCell ref="C11:M11"/>
    <mergeCell ref="C12:M12"/>
    <mergeCell ref="C5:M5"/>
    <mergeCell ref="C6:M6"/>
    <mergeCell ref="C7:M7"/>
    <mergeCell ref="C8:M8"/>
    <mergeCell ref="P29:Z29"/>
    <mergeCell ref="AC29:AM29"/>
    <mergeCell ref="AP29:AZ29"/>
    <mergeCell ref="C13:M13"/>
    <mergeCell ref="A1:I1"/>
    <mergeCell ref="C3:M3"/>
    <mergeCell ref="C4:M4"/>
    <mergeCell ref="F2:I2"/>
    <mergeCell ref="C9:M9"/>
    <mergeCell ref="C10:M10"/>
    <mergeCell ref="C16:M16"/>
    <mergeCell ref="C17:M17"/>
    <mergeCell ref="C18:M18"/>
    <mergeCell ref="C14:M14"/>
    <mergeCell ref="C15:M15"/>
    <mergeCell ref="A2:E2"/>
    <mergeCell ref="C79:M79"/>
    <mergeCell ref="C62:M62"/>
    <mergeCell ref="C63:M63"/>
    <mergeCell ref="C21:M21"/>
    <mergeCell ref="C22:M22"/>
    <mergeCell ref="C23:M23"/>
    <mergeCell ref="C24:M24"/>
    <mergeCell ref="C66:M66"/>
    <mergeCell ref="C67:M67"/>
    <mergeCell ref="C29:M29"/>
    <mergeCell ref="C25:M25"/>
    <mergeCell ref="C26:M26"/>
    <mergeCell ref="C27:M27"/>
    <mergeCell ref="C28:M28"/>
    <mergeCell ref="C61:M61"/>
    <mergeCell ref="C53:M53"/>
    <mergeCell ref="C54:M54"/>
    <mergeCell ref="C55:M55"/>
    <mergeCell ref="C64:M64"/>
    <mergeCell ref="C65:M65"/>
    <mergeCell ref="C56:M56"/>
    <mergeCell ref="C57:M57"/>
    <mergeCell ref="C59:M59"/>
    <mergeCell ref="C60:M60"/>
    <mergeCell ref="C89:M89"/>
    <mergeCell ref="C90:M90"/>
    <mergeCell ref="C83:M83"/>
    <mergeCell ref="C84:M84"/>
    <mergeCell ref="C85:M85"/>
    <mergeCell ref="C86:M86"/>
    <mergeCell ref="C80:M80"/>
    <mergeCell ref="C81:M81"/>
    <mergeCell ref="C82:M82"/>
    <mergeCell ref="C87:M87"/>
    <mergeCell ref="C88:M88"/>
    <mergeCell ref="C75:M75"/>
    <mergeCell ref="C76:M76"/>
    <mergeCell ref="C77:M77"/>
    <mergeCell ref="C78:M78"/>
    <mergeCell ref="C70:M70"/>
    <mergeCell ref="A72:E72"/>
    <mergeCell ref="C19:M19"/>
    <mergeCell ref="C52:M52"/>
    <mergeCell ref="C50:M50"/>
    <mergeCell ref="C47:M47"/>
    <mergeCell ref="C48:M48"/>
    <mergeCell ref="C49:M49"/>
    <mergeCell ref="C73:M73"/>
    <mergeCell ref="C74:M74"/>
    <mergeCell ref="C68:M68"/>
    <mergeCell ref="C69:M69"/>
    <mergeCell ref="C20:M2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2012-08-28T12:29:43Z</cp:lastPrinted>
  <dcterms:created xsi:type="dcterms:W3CDTF">1997-12-04T19:04:30Z</dcterms:created>
  <dcterms:modified xsi:type="dcterms:W3CDTF">2012-11-21T14:21:23Z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