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'DOE25'!$A$1:$L$671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D11" i="13"/>
  <c r="D9" i="13"/>
  <c r="I603" i="1"/>
  <c r="J603" i="1"/>
  <c r="H603" i="1"/>
  <c r="F501" i="1"/>
  <c r="H377" i="1"/>
  <c r="H399" i="1"/>
  <c r="H378" i="1"/>
  <c r="J377" i="1"/>
  <c r="I359" i="1"/>
  <c r="I358" i="1"/>
  <c r="I357" i="1"/>
  <c r="H359" i="1"/>
  <c r="H358" i="1"/>
  <c r="H357" i="1"/>
  <c r="G359" i="1"/>
  <c r="G358" i="1"/>
  <c r="G357" i="1"/>
  <c r="F359" i="1"/>
  <c r="F358" i="1"/>
  <c r="F357" i="1"/>
  <c r="J313" i="1"/>
  <c r="I313" i="1"/>
  <c r="H313" i="1"/>
  <c r="G313" i="1"/>
  <c r="J294" i="1"/>
  <c r="I294" i="1"/>
  <c r="J275" i="1"/>
  <c r="I275" i="1"/>
  <c r="H275" i="1"/>
  <c r="G275" i="1"/>
  <c r="H324" i="1"/>
  <c r="G319" i="1"/>
  <c r="G281" i="1"/>
  <c r="J319" i="1"/>
  <c r="I319" i="1"/>
  <c r="I281" i="1"/>
  <c r="H319" i="1"/>
  <c r="H300" i="1"/>
  <c r="H281" i="1"/>
  <c r="G300" i="1"/>
  <c r="F319" i="1"/>
  <c r="F300" i="1"/>
  <c r="F281" i="1"/>
  <c r="I318" i="1"/>
  <c r="I299" i="1"/>
  <c r="I280" i="1"/>
  <c r="H280" i="1"/>
  <c r="G318" i="1"/>
  <c r="G280" i="1"/>
  <c r="F318" i="1"/>
  <c r="F280" i="1"/>
  <c r="I316" i="1"/>
  <c r="I297" i="1"/>
  <c r="I278" i="1"/>
  <c r="G316" i="1"/>
  <c r="G297" i="1"/>
  <c r="G278" i="1"/>
  <c r="F316" i="1"/>
  <c r="F297" i="1"/>
  <c r="F278" i="1"/>
  <c r="J315" i="1"/>
  <c r="I315" i="1"/>
  <c r="H315" i="1"/>
  <c r="G315" i="1"/>
  <c r="F315" i="1"/>
  <c r="B27" i="12" s="1"/>
  <c r="J314" i="1"/>
  <c r="J276" i="1"/>
  <c r="I314" i="1"/>
  <c r="I276" i="1"/>
  <c r="H314" i="1"/>
  <c r="G314" i="1"/>
  <c r="G295" i="1"/>
  <c r="G276" i="1"/>
  <c r="F314" i="1"/>
  <c r="F295" i="1"/>
  <c r="F276" i="1"/>
  <c r="F313" i="1"/>
  <c r="F275" i="1"/>
  <c r="I47" i="1"/>
  <c r="H47" i="1"/>
  <c r="H45" i="1"/>
  <c r="G206" i="1"/>
  <c r="H243" i="1"/>
  <c r="H225" i="1"/>
  <c r="G207" i="1"/>
  <c r="F207" i="1"/>
  <c r="H207" i="1"/>
  <c r="K260" i="1"/>
  <c r="K259" i="1"/>
  <c r="H254" i="1"/>
  <c r="J242" i="1"/>
  <c r="J224" i="1"/>
  <c r="J206" i="1"/>
  <c r="I242" i="1"/>
  <c r="I224" i="1"/>
  <c r="I206" i="1"/>
  <c r="H242" i="1"/>
  <c r="H224" i="1"/>
  <c r="H206" i="1"/>
  <c r="G242" i="1"/>
  <c r="G224" i="1"/>
  <c r="F242" i="1"/>
  <c r="F224" i="1"/>
  <c r="F206" i="1"/>
  <c r="I240" i="1"/>
  <c r="H240" i="1"/>
  <c r="G240" i="1"/>
  <c r="G222" i="1"/>
  <c r="G204" i="1"/>
  <c r="J238" i="1"/>
  <c r="J220" i="1"/>
  <c r="J202" i="1"/>
  <c r="I238" i="1"/>
  <c r="I220" i="1"/>
  <c r="I202" i="1"/>
  <c r="H238" i="1"/>
  <c r="H220" i="1"/>
  <c r="H202" i="1"/>
  <c r="G238" i="1"/>
  <c r="G220" i="1"/>
  <c r="G202" i="1"/>
  <c r="F238" i="1"/>
  <c r="F220" i="1"/>
  <c r="F202" i="1"/>
  <c r="J237" i="1"/>
  <c r="J219" i="1"/>
  <c r="I237" i="1"/>
  <c r="I219" i="1"/>
  <c r="I201" i="1"/>
  <c r="H237" i="1"/>
  <c r="H219" i="1"/>
  <c r="H201" i="1"/>
  <c r="G237" i="1"/>
  <c r="G219" i="1"/>
  <c r="G201" i="1"/>
  <c r="F237" i="1"/>
  <c r="F219" i="1"/>
  <c r="F201" i="1"/>
  <c r="G250" i="1"/>
  <c r="F235" i="1"/>
  <c r="G235" i="1"/>
  <c r="G217" i="1"/>
  <c r="G199" i="1"/>
  <c r="F217" i="1"/>
  <c r="F199" i="1"/>
  <c r="G234" i="1"/>
  <c r="C27" i="12" s="1"/>
  <c r="J215" i="1"/>
  <c r="I233" i="1"/>
  <c r="I215" i="1"/>
  <c r="I197" i="1"/>
  <c r="H233" i="1"/>
  <c r="H215" i="1"/>
  <c r="H197" i="1"/>
  <c r="G233" i="1"/>
  <c r="G215" i="1"/>
  <c r="G197" i="1"/>
  <c r="F233" i="1"/>
  <c r="F215" i="1"/>
  <c r="F197" i="1"/>
  <c r="B18" i="12" s="1"/>
  <c r="F232" i="1"/>
  <c r="I232" i="1"/>
  <c r="H232" i="1"/>
  <c r="G232" i="1"/>
  <c r="I214" i="1"/>
  <c r="H214" i="1"/>
  <c r="G214" i="1"/>
  <c r="F214" i="1"/>
  <c r="I196" i="1"/>
  <c r="H196" i="1"/>
  <c r="G196" i="1"/>
  <c r="F196" i="1"/>
  <c r="B9" i="12" s="1"/>
  <c r="J95" i="1"/>
  <c r="G96" i="1"/>
  <c r="F159" i="1"/>
  <c r="F97" i="1"/>
  <c r="F85" i="1"/>
  <c r="F68" i="1"/>
  <c r="F63" i="1"/>
  <c r="F62" i="1"/>
  <c r="G447" i="1"/>
  <c r="G458" i="1"/>
  <c r="G440" i="1"/>
  <c r="G438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E130" i="2" s="1"/>
  <c r="L341" i="1"/>
  <c r="L254" i="1"/>
  <c r="C129" i="2" s="1"/>
  <c r="L335" i="1"/>
  <c r="C11" i="13"/>
  <c r="C10" i="13"/>
  <c r="C9" i="13"/>
  <c r="L360" i="1"/>
  <c r="B4" i="12"/>
  <c r="B36" i="12"/>
  <c r="C36" i="12"/>
  <c r="B40" i="12"/>
  <c r="C40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F110" i="1"/>
  <c r="G110" i="1"/>
  <c r="H78" i="1"/>
  <c r="H93" i="1"/>
  <c r="H110" i="1"/>
  <c r="I110" i="1"/>
  <c r="J110" i="1"/>
  <c r="J111" i="1" s="1"/>
  <c r="F120" i="1"/>
  <c r="F135" i="1"/>
  <c r="F139" i="1" s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8" i="10"/>
  <c r="C19" i="10"/>
  <c r="C20" i="10"/>
  <c r="C21" i="10"/>
  <c r="L249" i="1"/>
  <c r="C112" i="2" s="1"/>
  <c r="C114" i="2" s="1"/>
  <c r="L331" i="1"/>
  <c r="L253" i="1"/>
  <c r="C25" i="10"/>
  <c r="L267" i="1"/>
  <c r="L268" i="1"/>
  <c r="L348" i="1"/>
  <c r="L349" i="1"/>
  <c r="E142" i="2" s="1"/>
  <c r="I664" i="1"/>
  <c r="I669" i="1"/>
  <c r="L210" i="1"/>
  <c r="L228" i="1"/>
  <c r="L246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L521" i="1"/>
  <c r="F549" i="1" s="1"/>
  <c r="L522" i="1"/>
  <c r="F550" i="1" s="1"/>
  <c r="L525" i="1"/>
  <c r="L526" i="1"/>
  <c r="G549" i="1" s="1"/>
  <c r="L527" i="1"/>
  <c r="G550" i="1" s="1"/>
  <c r="L530" i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F31" i="2" s="1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F127" i="2"/>
  <c r="G127" i="2"/>
  <c r="E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H51" i="1" s="1"/>
  <c r="H618" i="1" s="1"/>
  <c r="J618" i="1" s="1"/>
  <c r="I32" i="1"/>
  <c r="F50" i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J182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J351" i="1" s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G641" i="1" s="1"/>
  <c r="J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F528" i="1"/>
  <c r="F533" i="1"/>
  <c r="F543" i="1"/>
  <c r="G523" i="1"/>
  <c r="H523" i="1"/>
  <c r="I523" i="1"/>
  <c r="J523" i="1"/>
  <c r="K523" i="1"/>
  <c r="G528" i="1"/>
  <c r="H528" i="1"/>
  <c r="I528" i="1"/>
  <c r="J528" i="1"/>
  <c r="K528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J646" i="1" s="1"/>
  <c r="K592" i="1"/>
  <c r="K593" i="1"/>
  <c r="K594" i="1"/>
  <c r="K595" i="1"/>
  <c r="K596" i="1"/>
  <c r="H597" i="1"/>
  <c r="H648" i="1" s="1"/>
  <c r="G648" i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J638" i="1" s="1"/>
  <c r="H638" i="1"/>
  <c r="G639" i="1"/>
  <c r="G640" i="1"/>
  <c r="H640" i="1"/>
  <c r="G642" i="1"/>
  <c r="H642" i="1"/>
  <c r="G643" i="1"/>
  <c r="H643" i="1"/>
  <c r="J643" i="1" s="1"/>
  <c r="H646" i="1"/>
  <c r="G649" i="1"/>
  <c r="J649" i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K256" i="1"/>
  <c r="K270" i="1" s="1"/>
  <c r="I256" i="1"/>
  <c r="I270" i="1" s="1"/>
  <c r="G256" i="1"/>
  <c r="G270" i="1" s="1"/>
  <c r="C18" i="2"/>
  <c r="C26" i="10"/>
  <c r="L350" i="1"/>
  <c r="I661" i="1"/>
  <c r="L289" i="1"/>
  <c r="F659" i="1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F103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/>
  <c r="D14" i="13"/>
  <c r="C14" i="13"/>
  <c r="E13" i="13"/>
  <c r="C13" i="13"/>
  <c r="C80" i="2"/>
  <c r="C103" i="2" s="1"/>
  <c r="E77" i="2"/>
  <c r="E80" i="2" s="1"/>
  <c r="L426" i="1"/>
  <c r="J256" i="1"/>
  <c r="H111" i="1"/>
  <c r="H192" i="1" s="1"/>
  <c r="G628" i="1" s="1"/>
  <c r="J628" i="1" s="1"/>
  <c r="F111" i="1"/>
  <c r="J640" i="1"/>
  <c r="K604" i="1"/>
  <c r="G647" i="1" s="1"/>
  <c r="J647" i="1" s="1"/>
  <c r="J570" i="1"/>
  <c r="L432" i="1"/>
  <c r="L418" i="1"/>
  <c r="D80" i="2"/>
  <c r="I168" i="1"/>
  <c r="H168" i="1"/>
  <c r="J270" i="1"/>
  <c r="H647" i="1"/>
  <c r="L433" i="1"/>
  <c r="G637" i="1" s="1"/>
  <c r="J637" i="1" s="1"/>
  <c r="E50" i="2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C23" i="10"/>
  <c r="F168" i="1"/>
  <c r="F192" i="1"/>
  <c r="G626" i="1" s="1"/>
  <c r="J626" i="1" s="1"/>
  <c r="J139" i="1"/>
  <c r="F570" i="1"/>
  <c r="H256" i="1"/>
  <c r="H270" i="1" s="1"/>
  <c r="G62" i="2"/>
  <c r="G103" i="2" s="1"/>
  <c r="I551" i="1"/>
  <c r="K549" i="1"/>
  <c r="G22" i="2"/>
  <c r="J32" i="1"/>
  <c r="K544" i="1"/>
  <c r="J617" i="1"/>
  <c r="J551" i="1"/>
  <c r="C29" i="10"/>
  <c r="H139" i="1"/>
  <c r="L400" i="1"/>
  <c r="C138" i="2" s="1"/>
  <c r="L392" i="1"/>
  <c r="F22" i="13"/>
  <c r="H25" i="13"/>
  <c r="C25" i="13" s="1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C35" i="10"/>
  <c r="L308" i="1"/>
  <c r="D5" i="13"/>
  <c r="C5" i="13" s="1"/>
  <c r="E16" i="13"/>
  <c r="J624" i="1"/>
  <c r="C49" i="2"/>
  <c r="C50" i="2"/>
  <c r="J654" i="1"/>
  <c r="L569" i="1"/>
  <c r="I570" i="1"/>
  <c r="I544" i="1"/>
  <c r="J635" i="1"/>
  <c r="G36" i="2"/>
  <c r="G49" i="2"/>
  <c r="J50" i="1"/>
  <c r="C39" i="10"/>
  <c r="L564" i="1"/>
  <c r="L570" i="1" s="1"/>
  <c r="G544" i="1"/>
  <c r="H544" i="1"/>
  <c r="K550" i="1"/>
  <c r="C22" i="13"/>
  <c r="F33" i="13"/>
  <c r="C137" i="2"/>
  <c r="L407" i="1"/>
  <c r="H645" i="1" s="1"/>
  <c r="C16" i="13"/>
  <c r="E33" i="13"/>
  <c r="D35" i="13" s="1"/>
  <c r="G659" i="1"/>
  <c r="H33" i="13"/>
  <c r="G625" i="1"/>
  <c r="J625" i="1" s="1"/>
  <c r="J51" i="1"/>
  <c r="H620" i="1"/>
  <c r="G636" i="1"/>
  <c r="J636" i="1" s="1"/>
  <c r="D33" i="13"/>
  <c r="D36" i="13" s="1"/>
  <c r="C140" i="2" l="1"/>
  <c r="C143" i="2" s="1"/>
  <c r="I433" i="1"/>
  <c r="F51" i="1"/>
  <c r="H616" i="1" s="1"/>
  <c r="J616" i="1" s="1"/>
  <c r="G621" i="1"/>
  <c r="J621" i="1" s="1"/>
  <c r="G159" i="2"/>
  <c r="H548" i="1"/>
  <c r="H551" i="1" s="1"/>
  <c r="L533" i="1"/>
  <c r="F548" i="1"/>
  <c r="L523" i="1"/>
  <c r="F129" i="2"/>
  <c r="F143" i="2" s="1"/>
  <c r="F144" i="2" s="1"/>
  <c r="C24" i="10"/>
  <c r="C123" i="2"/>
  <c r="C127" i="2" s="1"/>
  <c r="L327" i="1"/>
  <c r="C17" i="10"/>
  <c r="L361" i="1"/>
  <c r="G660" i="1"/>
  <c r="I660" i="1" s="1"/>
  <c r="D126" i="2"/>
  <c r="D127" i="2" s="1"/>
  <c r="D144" i="2" s="1"/>
  <c r="D103" i="2"/>
  <c r="E144" i="2"/>
  <c r="J648" i="1"/>
  <c r="I337" i="1"/>
  <c r="I351" i="1" s="1"/>
  <c r="L255" i="1"/>
  <c r="L256" i="1" s="1"/>
  <c r="L270" i="1" s="1"/>
  <c r="G631" i="1" s="1"/>
  <c r="J631" i="1" s="1"/>
  <c r="J191" i="1"/>
  <c r="J192" i="1" s="1"/>
  <c r="G644" i="1"/>
  <c r="J644" i="1" s="1"/>
  <c r="B163" i="2"/>
  <c r="G163" i="2" s="1"/>
  <c r="K502" i="1"/>
  <c r="G548" i="1"/>
  <c r="G551" i="1" s="1"/>
  <c r="L528" i="1"/>
  <c r="G111" i="1"/>
  <c r="G33" i="13"/>
  <c r="G570" i="1"/>
  <c r="F544" i="1"/>
  <c r="G433" i="1"/>
  <c r="J433" i="1"/>
  <c r="F433" i="1"/>
  <c r="I191" i="1"/>
  <c r="J619" i="1"/>
  <c r="K433" i="1"/>
  <c r="G133" i="2" s="1"/>
  <c r="G143" i="2" s="1"/>
  <c r="G139" i="1"/>
  <c r="C38" i="10" s="1"/>
  <c r="I111" i="1"/>
  <c r="I192" i="1" s="1"/>
  <c r="G629" i="1" s="1"/>
  <c r="J629" i="1" s="1"/>
  <c r="C9" i="12"/>
  <c r="C10" i="12" s="1"/>
  <c r="C18" i="12"/>
  <c r="G144" i="2"/>
  <c r="C27" i="10"/>
  <c r="G634" i="1"/>
  <c r="J634" i="1" s="1"/>
  <c r="B12" i="12"/>
  <c r="C11" i="12"/>
  <c r="B21" i="12"/>
  <c r="C19" i="12"/>
  <c r="C20" i="12"/>
  <c r="B30" i="12"/>
  <c r="C28" i="12"/>
  <c r="C29" i="12"/>
  <c r="G31" i="2"/>
  <c r="G50" i="2" s="1"/>
  <c r="G12" i="2"/>
  <c r="J19" i="1"/>
  <c r="G620" i="1" s="1"/>
  <c r="G18" i="2"/>
  <c r="I662" i="1"/>
  <c r="F663" i="1"/>
  <c r="H659" i="1" l="1"/>
  <c r="D31" i="13"/>
  <c r="C31" i="13" s="1"/>
  <c r="L337" i="1"/>
  <c r="L351" i="1" s="1"/>
  <c r="G632" i="1" s="1"/>
  <c r="J632" i="1" s="1"/>
  <c r="L544" i="1"/>
  <c r="G663" i="1"/>
  <c r="G192" i="1"/>
  <c r="G627" i="1" s="1"/>
  <c r="J627" i="1" s="1"/>
  <c r="C36" i="10"/>
  <c r="G630" i="1"/>
  <c r="J630" i="1" s="1"/>
  <c r="G645" i="1"/>
  <c r="J645" i="1" s="1"/>
  <c r="K548" i="1"/>
  <c r="K551" i="1" s="1"/>
  <c r="F551" i="1"/>
  <c r="C144" i="2"/>
  <c r="F671" i="1"/>
  <c r="C4" i="10" s="1"/>
  <c r="F666" i="1"/>
  <c r="C12" i="12"/>
  <c r="B13" i="12"/>
  <c r="C28" i="10"/>
  <c r="D27" i="10" s="1"/>
  <c r="H655" i="1"/>
  <c r="J620" i="1"/>
  <c r="C30" i="12"/>
  <c r="C31" i="12" s="1"/>
  <c r="B31" i="12"/>
  <c r="C21" i="12"/>
  <c r="C22" i="12" s="1"/>
  <c r="B22" i="12"/>
  <c r="C13" i="12"/>
  <c r="G671" i="1" l="1"/>
  <c r="C5" i="10" s="1"/>
  <c r="G666" i="1"/>
  <c r="H663" i="1"/>
  <c r="I659" i="1"/>
  <c r="I663" i="1" s="1"/>
  <c r="C41" i="10"/>
  <c r="D36" i="10" s="1"/>
  <c r="A22" i="12"/>
  <c r="A31" i="12"/>
  <c r="A13" i="12"/>
  <c r="D25" i="10"/>
  <c r="C30" i="10"/>
  <c r="D17" i="10"/>
  <c r="D11" i="10"/>
  <c r="D26" i="10"/>
  <c r="D18" i="10"/>
  <c r="D20" i="10"/>
  <c r="D10" i="10"/>
  <c r="D23" i="10"/>
  <c r="D24" i="10"/>
  <c r="D22" i="10"/>
  <c r="D15" i="10"/>
  <c r="D19" i="10"/>
  <c r="D16" i="10"/>
  <c r="D12" i="10"/>
  <c r="D21" i="10"/>
  <c r="D13" i="10"/>
  <c r="I671" i="1" l="1"/>
  <c r="C7" i="10" s="1"/>
  <c r="I666" i="1"/>
  <c r="D39" i="10"/>
  <c r="D35" i="10"/>
  <c r="D41" i="10" s="1"/>
  <c r="D40" i="10"/>
  <c r="D37" i="10"/>
  <c r="D38" i="10"/>
  <c r="H671" i="1"/>
  <c r="C6" i="10" s="1"/>
  <c r="H666" i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<sst xmlns="http://schemas.openxmlformats.org/spreadsheetml/2006/main" count="3947" uniqueCount="914">
  <si>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</si>
  <si>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</si>
  <si>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</si>
  <si>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</si>
  <si>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</si>
  <si>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</si>
  <si>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</si>
  <si>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</si>
  <si>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</si>
  <si>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</si>
  <si>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</si>
  <si>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</si>
  <si>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</si>
  <si>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</si>
  <si>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</si>
  <si>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</si>
  <si>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</si>
  <si>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</si>
  <si>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</si>
  <si>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</si>
  <si>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</si>
  <si>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</si>
  <si>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</si>
  <si>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</si>
  <si>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</si>
  <si>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</si>
  <si>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</si>
  <si>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</si>
  <si>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</si>
  <si>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</si>
  <si>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</si>
  <si>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</si>
  <si>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</si>
  <si>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</si>
  <si>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</si>
  <si>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</si>
  <si>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</si>
  <si>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</si>
  <si>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</si>
  <si>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</si>
  <si>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</si>
  <si>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</si>
  <si>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</si>
  <si>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</si>
  <si>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</si>
  <si>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</si>
  <si>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</si>
  <si>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</si>
  <si>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</si>
  <si>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</si>
  <si>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</si>
  <si>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</si>
  <si>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</si>
  <si>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</si>
  <si>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</si>
  <si>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</si>
  <si>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</si>
  <si>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</si>
  <si>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</si>
  <si>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</si>
  <si>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</si>
  <si>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</si>
  <si>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</si>
  <si>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</si>
  <si>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</si>
  <si>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</si>
  <si>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</si>
  <si>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</si>
  <si>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</si>
  <si>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</si>
  <si>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</si>
  <si>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</si>
  <si>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</si>
  <si>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</si>
  <si>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</si>
  <si>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</si>
  <si>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</si>
  <si>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</si>
  <si>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</si>
  <si>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</si>
  <si>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</si>
  <si>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</si>
  <si>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</si>
  <si>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</si>
  <si>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</si>
  <si>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</si>
  <si>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</si>
  <si>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</si>
  <si>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</si>
  <si>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</si>
  <si>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</si>
  <si>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</si>
  <si>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</si>
  <si>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</si>
  <si>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</si>
  <si>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</si>
  <si>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</si>
  <si>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</si>
  <si>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</si>
  <si>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</si>
  <si>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</si>
  <si>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</si>
  <si>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</si>
  <si>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</si>
  <si>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</si>
  <si>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</si>
  <si>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</si>
  <si>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</si>
  <si>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</si>
  <si>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</si>
  <si>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</si>
  <si>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</si>
  <si>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</si>
  <si>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</si>
  <si>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</si>
  <si>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</si>
  <si>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</si>
  <si>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</si>
  <si>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</si>
  <si>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</si>
  <si>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</si>
  <si>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</si>
  <si>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</si>
  <si>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</si>
  <si>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</si>
  <si>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</si>
  <si>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</si>
  <si>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</si>
  <si>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</si>
  <si>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</si>
  <si>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</si>
  <si>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</si>
  <si>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</si>
  <si>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</si>
  <si>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</si>
  <si>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</si>
  <si>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</si>
  <si>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</si>
  <si>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</si>
  <si>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</si>
  <si>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</si>
  <si>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</si>
  <si>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</si>
  <si>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</si>
  <si>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</si>
  <si>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</si>
  <si>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</si>
  <si>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</si>
  <si>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</si>
  <si>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</si>
  <si>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</si>
  <si>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</si>
  <si>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</si>
  <si>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</si>
  <si>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</si>
  <si>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</si>
  <si>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</si>
  <si>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</si>
  <si>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</si>
  <si>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</si>
  <si>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</si>
  <si>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</si>
  <si>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</si>
  <si>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</si>
  <si>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</si>
  <si>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</si>
  <si>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</si>
  <si>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</si>
  <si>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</si>
  <si>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</si>
  <si>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</si>
  <si>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</si>
  <si>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</si>
  <si>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</si>
  <si>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</si>
  <si>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</si>
  <si>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</si>
  <si>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</si>
  <si>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</si>
  <si>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</si>
  <si>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</si>
  <si>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</si>
  <si>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</si>
  <si>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</si>
  <si>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</si>
  <si>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</si>
  <si>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</si>
  <si>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</si>
  <si>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</si>
  <si>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</si>
  <si>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</si>
  <si>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</si>
  <si>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</si>
  <si>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</si>
  <si>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</si>
  <si>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</si>
  <si>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</si>
  <si>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</si>
  <si>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</si>
  <si>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</si>
  <si>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</si>
  <si>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</si>
  <si>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</si>
  <si>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</si>
  <si>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</si>
  <si>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</si>
  <si>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</si>
  <si>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</si>
  <si>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</si>
  <si>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</si>
  <si>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</si>
  <si>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</si>
  <si>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</si>
  <si>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</si>
  <si>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</si>
  <si>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</si>
  <si>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</si>
  <si>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</si>
  <si>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</si>
  <si>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</si>
  <si>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</si>
  <si>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</si>
  <si>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</si>
  <si>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</si>
  <si>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</si>
  <si>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</si>
  <si>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</si>
  <si>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</si>
  <si>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</si>
  <si>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</si>
  <si>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</si>
  <si>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</si>
  <si>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</si>
  <si>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</si>
  <si>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</si>
  <si>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</si>
  <si>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</si>
  <si>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</si>
  <si>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</si>
  <si>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</si>
  <si>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</si>
  <si>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</si>
  <si>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</si>
  <si>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</si>
  <si>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</si>
  <si>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</si>
  <si>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</si>
  <si>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</si>
  <si>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</si>
  <si>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</si>
  <si>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</si>
  <si>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</si>
  <si>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</si>
  <si>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</si>
  <si>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</si>
  <si>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</si>
  <si>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</si>
  <si>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</si>
  <si>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</si>
  <si>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</si>
  <si>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</si>
  <si>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</si>
  <si>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</si>
  <si>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</si>
  <si>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</si>
  <si>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</si>
  <si>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</si>
  <si>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</si>
  <si>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</si>
  <si>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</si>
  <si>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</si>
  <si>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</si>
  <si>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</si>
  <si>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</si>
  <si>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</si>
  <si>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</si>
  <si>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</si>
  <si>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</si>
  <si>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</si>
  <si>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</si>
  <si>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</si>
  <si>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</si>
  <si>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</si>
  <si>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</si>
  <si>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</si>
  <si>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</si>
  <si>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</si>
  <si>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</si>
  <si>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</si>
  <si>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</si>
  <si>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</si>
  <si>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</si>
  <si>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</si>
  <si>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</si>
  <si>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</si>
  <si>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</si>
  <si>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</si>
  <si>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</si>
  <si>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</si>
  <si>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</si>
  <si>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</si>
  <si>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</si>
  <si>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</si>
  <si>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</si>
  <si>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</si>
  <si>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</si>
  <si>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</si>
  <si>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</si>
  <si>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</si>
  <si>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</si>
  <si>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</si>
  <si>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</si>
  <si>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</si>
  <si>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</si>
  <si>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</si>
  <si>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</si>
  <si>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</si>
  <si>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</si>
  <si>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</si>
  <si>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</si>
  <si>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</si>
  <si>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</si>
  <si>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</si>
  <si>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</si>
  <si>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</si>
  <si>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</si>
  <si>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</si>
  <si>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</si>
  <si>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</si>
  <si>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</si>
  <si>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</si>
  <si>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</si>
  <si>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</si>
  <si>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</si>
  <si>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</si>
  <si>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</si>
  <si>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</si>
  <si>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</si>
  <si>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</si>
  <si>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</si>
  <si>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</si>
  <si>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</si>
  <si>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</si>
  <si>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</si>
  <si>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</si>
  <si>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</si>
  <si>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</si>
  <si>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</si>
  <si>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</si>
  <si>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</si>
  <si>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</si>
  <si>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</si>
  <si>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</si>
  <si>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</si>
  <si>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</si>
  <si>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</si>
  <si>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</si>
  <si>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</si>
  <si>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</si>
  <si>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</si>
  <si>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</si>
  <si>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</si>
  <si>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</si>
  <si>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</si>
  <si>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</si>
  <si>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</si>
  <si>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</si>
  <si>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</si>
  <si>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</si>
  <si>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</si>
  <si>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</si>
  <si>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</si>
  <si>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</si>
  <si>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</si>
  <si>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</si>
  <si>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</si>
  <si>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</si>
  <si>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</si>
  <si>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</si>
  <si>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</si>
  <si>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</si>
  <si>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</si>
  <si>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</si>
  <si>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</si>
  <si>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</si>
  <si>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</si>
  <si>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</si>
  <si>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</si>
  <si>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</si>
  <si>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</si>
  <si>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</si>
  <si>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</si>
  <si>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</si>
  <si>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</si>
  <si>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</si>
  <si>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</si>
  <si>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</si>
  <si>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</si>
  <si>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</si>
  <si>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</si>
  <si>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</si>
  <si>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</si>
  <si>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</si>
  <si>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</si>
  <si>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</si>
  <si>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</si>
  <si>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</si>
  <si>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</si>
  <si>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</si>
  <si>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</si>
  <si>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</si>
  <si>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</si>
  <si>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</si>
  <si>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</si>
  <si>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</si>
  <si>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</si>
  <si>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</si>
  <si>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</si>
  <si>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</si>
  <si>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</si>
  <si>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</si>
  <si>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</si>
  <si>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</si>
  <si>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</si>
  <si>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</si>
  <si>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</si>
  <si>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</si>
  <si>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</si>
  <si>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</si>
  <si>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</si>
  <si>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</si>
  <si>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</si>
  <si>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</si>
  <si>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</si>
  <si>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</si>
  <si>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</si>
  <si>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</si>
  <si>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</si>
  <si>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</si>
  <si>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</si>
  <si>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</si>
  <si>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</si>
  <si>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</si>
  <si>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</si>
  <si>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</si>
  <si>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</si>
  <si>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</si>
  <si>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</si>
  <si>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</si>
  <si>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</si>
  <si>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</si>
  <si>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</si>
  <si>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</si>
  <si>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</si>
  <si>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</si>
  <si>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</si>
  <si>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</si>
  <si>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</si>
  <si>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</si>
  <si>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</si>
  <si>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</si>
  <si>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</si>
  <si>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</si>
  <si>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</si>
  <si>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</si>
  <si>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</si>
  <si>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</si>
  <si>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</si>
  <si>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</si>
  <si>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</si>
  <si>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</si>
  <si>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</si>
  <si>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</si>
  <si>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</si>
  <si>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</si>
  <si>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</si>
  <si>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</si>
  <si>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</si>
  <si>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</si>
  <si>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</si>
  <si>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</si>
  <si>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</si>
  <si>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</si>
  <si>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</si>
  <si>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</si>
  <si>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</si>
  <si>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</si>
  <si>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</si>
  <si>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</si>
  <si>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</si>
  <si>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</si>
  <si>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</si>
  <si>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</si>
  <si>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</si>
  <si>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</si>
  <si>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</si>
  <si>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</si>
  <si>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</si>
  <si>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</si>
  <si>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</si>
  <si>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</si>
  <si>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</si>
  <si>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</si>
  <si>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</si>
  <si>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</si>
  <si>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</si>
  <si>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</si>
  <si>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</si>
  <si>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</si>
  <si>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</si>
  <si>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</si>
  <si>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</si>
  <si>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</si>
  <si>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</si>
  <si>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</si>
  <si>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</si>
  <si>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</si>
  <si>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</si>
  <si>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</si>
  <si>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</si>
  <si>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</si>
  <si>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</si>
  <si>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</si>
  <si>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</si>
  <si>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</si>
  <si>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</si>
  <si>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</si>
  <si>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</si>
  <si>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</si>
  <si>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</si>
  <si>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</si>
  <si>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</si>
  <si>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</si>
  <si>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</si>
  <si>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</si>
  <si>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</si>
  <si>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</si>
  <si>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</si>
  <si>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</si>
  <si>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</si>
  <si>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</si>
  <si>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</si>
  <si>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</si>
  <si>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</si>
  <si>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</si>
  <si>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</si>
  <si>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</si>
  <si>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</si>
  <si>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</si>
  <si>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</si>
  <si>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</si>
  <si>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</si>
  <si>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</si>
  <si>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</si>
  <si>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</si>
  <si>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</si>
  <si>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</si>
  <si>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</si>
  <si>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</si>
  <si>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</si>
  <si>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</si>
  <si>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</si>
  <si>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</si>
  <si>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</si>
  <si>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</si>
  <si>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</si>
  <si>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</si>
  <si>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</si>
  <si>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</si>
  <si>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</si>
  <si>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</si>
  <si>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</si>
  <si>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</si>
  <si>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</si>
  <si>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</si>
  <si>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</si>
  <si>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</si>
  <si>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</si>
  <si>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</si>
  <si>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</si>
  <si>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</si>
  <si>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</si>
  <si>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</si>
  <si>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</si>
  <si>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</si>
  <si>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</si>
  <si>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</si>
  <si>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</si>
  <si>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</si>
  <si>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</si>
  <si>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</si>
  <si>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</si>
  <si>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</si>
  <si>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</si>
  <si>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</si>
  <si>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</si>
  <si>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</si>
  <si>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</si>
  <si>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</si>
  <si>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</si>
  <si>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</si>
  <si>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</si>
  <si>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</si>
  <si>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</si>
  <si>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</si>
  <si>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</si>
  <si>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</si>
  <si>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</si>
  <si>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</si>
  <si>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</si>
  <si>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</si>
  <si>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</si>
  <si>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</si>
  <si>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</si>
  <si>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</si>
  <si>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</si>
  <si>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</si>
  <si>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</si>
  <si>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</si>
  <si>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</si>
  <si>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</si>
  <si>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</si>
  <si>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</si>
  <si>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</si>
  <si>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</si>
  <si>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</si>
  <si>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</si>
  <si>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</si>
  <si>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</si>
  <si>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</si>
  <si>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</si>
  <si>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</si>
  <si>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</si>
  <si>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</si>
  <si>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</si>
  <si>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</si>
  <si>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</si>
  <si>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</si>
  <si>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</si>
  <si>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</si>
  <si>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</si>
  <si>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</si>
  <si>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</si>
  <si>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</si>
  <si>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</si>
  <si>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</si>
  <si>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</si>
  <si>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</si>
  <si>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</si>
  <si>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</si>
  <si>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</si>
  <si>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</si>
  <si>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</si>
  <si>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</si>
  <si>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</si>
  <si>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</si>
  <si>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</si>
  <si>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</si>
  <si>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</si>
  <si>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</si>
  <si>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</si>
  <si>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</si>
  <si>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</si>
  <si>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</si>
  <si>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</si>
  <si>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</si>
  <si>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</si>
  <si>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</si>
  <si>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</si>
  <si>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</si>
  <si>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</si>
  <si>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</si>
  <si>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</si>
  <si>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</si>
  <si>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</si>
  <si>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</si>
  <si>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</si>
  <si>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</si>
  <si>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</si>
  <si>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</si>
  <si>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</si>
  <si>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</si>
  <si>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</si>
  <si>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</si>
  <si>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</si>
  <si>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</si>
  <si>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</si>
  <si>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</si>
  <si>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</si>
  <si>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</si>
  <si>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</si>
  <si>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</si>
  <si>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</si>
  <si>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</si>
  <si>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</si>
  <si>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</si>
  <si>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</si>
  <si>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</si>
  <si>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</si>
  <si>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</si>
  <si>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</si>
  <si>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</si>
  <si>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</si>
  <si>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</si>
  <si>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</si>
  <si>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</si>
  <si>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</si>
  <si>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</si>
  <si>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</si>
  <si>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</si>
  <si>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</si>
  <si>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</si>
  <si>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</si>
  <si>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</si>
  <si>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</si>
  <si>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</si>
  <si>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</si>
  <si>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</si>
  <si>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</si>
  <si>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</si>
  <si>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</si>
  <si>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</si>
  <si>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</si>
  <si>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</si>
  <si>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</si>
  <si>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</si>
  <si>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</si>
  <si>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</si>
  <si>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</si>
  <si>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</si>
  <si>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</si>
  <si>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</si>
  <si>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</si>
  <si>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</si>
  <si>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</si>
  <si>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</si>
  <si>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</si>
  <si>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</si>
  <si>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</si>
  <si>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</si>
  <si>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</si>
  <si>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</si>
  <si>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</si>
  <si>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</si>
  <si>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</si>
  <si>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</si>
  <si>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</si>
  <si>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</si>
  <si>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</si>
  <si>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</si>
  <si>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</si>
  <si>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</si>
  <si>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</si>
  <si>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</si>
  <si>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</si>
  <si>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</si>
  <si>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</si>
  <si>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</si>
  <si>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</si>
  <si>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</si>
  <si>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</si>
  <si>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</si>
  <si>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</si>
  <si>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</si>
  <si>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</si>
  <si>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</si>
  <si>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</si>
  <si>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</si>
  <si>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</si>
  <si>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</si>
  <si>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</si>
  <si>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</si>
  <si>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</si>
  <si>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</si>
  <si>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</si>
  <si>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</si>
  <si>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</si>
  <si>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</si>
  <si>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</si>
  <si>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</si>
  <si>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</si>
  <si>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</si>
  <si>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</si>
  <si>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</si>
  <si>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</si>
  <si>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</si>
  <si>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</si>
  <si>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</si>
  <si>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</si>
  <si>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</si>
  <si>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</si>
  <si>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</si>
  <si>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</si>
  <si>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</si>
  <si>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</si>
  <si>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</si>
  <si>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</si>
  <si>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</si>
  <si>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</si>
  <si>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</si>
  <si>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</si>
  <si>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</si>
  <si>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</si>
  <si>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</si>
  <si>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</si>
  <si>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</si>
  <si>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</si>
  <si>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</si>
  <si>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</si>
  <si>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</si>
  <si>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</si>
  <si>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</si>
  <si>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</si>
  <si>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</si>
  <si>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</si>
  <si>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</si>
  <si>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</si>
  <si>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</si>
  <si>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</si>
  <si>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</si>
  <si>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</si>
  <si>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</si>
  <si>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</si>
  <si>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</si>
  <si>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</si>
  <si>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</si>
  <si>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</si>
  <si>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</si>
  <si>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</si>
  <si>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</si>
  <si>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</si>
  <si>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</si>
  <si>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</si>
  <si>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</si>
  <si>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</si>
  <si>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</si>
  <si>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</si>
  <si>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</si>
  <si>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</si>
  <si>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</si>
  <si>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</si>
  <si>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</si>
  <si>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</si>
  <si>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</si>
  <si>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</si>
  <si>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</si>
  <si>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</si>
  <si>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</si>
  <si>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</si>
  <si>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</si>
  <si>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</si>
  <si>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</si>
  <si>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</si>
  <si>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</si>
  <si>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</si>
  <si>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</si>
  <si>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</si>
  <si>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</si>
  <si>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</si>
  <si>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</si>
  <si>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</si>
  <si>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</si>
  <si>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</si>
  <si>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</si>
  <si>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</si>
  <si>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</si>
  <si>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</si>
  <si>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</si>
  <si>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</si>
  <si>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</si>
  <si>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</si>
  <si>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</si>
  <si>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</si>
  <si>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</si>
  <si>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</si>
  <si>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</si>
  <si>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</si>
  <si>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</si>
  <si>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</si>
  <si>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</si>
  <si>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</si>
  <si>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</si>
  <si>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</si>
  <si>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</si>
  <si>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</si>
  <si>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</si>
  <si>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</si>
  <si>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</si>
  <si>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</si>
  <si>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</si>
  <si>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</si>
  <si>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</si>
  <si>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</si>
  <si>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</si>
  <si>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</si>
  <si>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</si>
  <si>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</si>
  <si>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</si>
  <si>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</si>
  <si>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</si>
  <si>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</si>
  <si>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</si>
  <si>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</si>
  <si>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</si>
  <si>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</si>
  <si>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</si>
  <si>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</si>
  <si>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</si>
  <si>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</si>
  <si>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Scholarship Fund</t>
  </si>
  <si>
    <t>11/91 - 12/10</t>
  </si>
  <si>
    <t>04/40</t>
  </si>
  <si>
    <t>See attached paper for details</t>
  </si>
  <si>
    <t>Concord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</si>
</sst>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SheetLayoutView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111</v>
      </c>
      <c r="C2" s="21">
        <v>111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2054224.95</v>
      </c>
      <c r="G9" s="18">
        <v>75567.16</v>
      </c>
      <c r="H9" s="18">
        <v>-207947.99</v>
      </c>
      <c r="I9" s="18">
        <v>191166.04</v>
      </c>
      <c r="J9" s="67">
        <f>SUM(I438)</f>
        <v>4772562.62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9396051.6799999997</v>
      </c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76265931.310000002</v>
      </c>
      <c r="G12" s="18">
        <v>3516060.38</v>
      </c>
      <c r="H12" s="18">
        <v>13660845.9</v>
      </c>
      <c r="I12" s="18">
        <v>58242648.57</v>
      </c>
      <c r="J12" s="67">
        <f>SUM(I440)</f>
        <v>-279708.5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395039.37</v>
      </c>
      <c r="G14" s="18">
        <v>150825.5</v>
      </c>
      <c r="H14" s="18">
        <v>847180.17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59515.37</v>
      </c>
      <c r="G16" s="18">
        <v>27543.1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95200</v>
      </c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78869911.000000015</v>
      </c>
      <c r="G19" s="41">
        <f>SUM(G9:G18)</f>
        <v>3769996.14</v>
      </c>
      <c r="H19" s="41">
        <f>SUM(H9:H18)</f>
        <v>14300078.08</v>
      </c>
      <c r="I19" s="41">
        <f>SUM(I9:I18)</f>
        <v>67829866.289999992</v>
      </c>
      <c r="J19" s="41">
        <f>SUM(J9:J18)</f>
        <v>4492854.12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75426550.829999998</v>
      </c>
      <c r="G22" s="18">
        <v>3684715.53</v>
      </c>
      <c r="H22" s="18">
        <v>14163242.66</v>
      </c>
      <c r="I22" s="18">
        <v>58398065.189999998</v>
      </c>
      <c r="J22" s="67">
        <f>SUM(I447)</f>
        <v>-266888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1756.56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90918.46</v>
      </c>
      <c r="G28" s="18">
        <v>21518.7</v>
      </c>
      <c r="H28" s="18">
        <v>4799.5600000000004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205155.09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44715.97</v>
      </c>
      <c r="G30" s="18">
        <v>21939.68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75769096.909999996</v>
      </c>
      <c r="G32" s="41">
        <f>SUM(G22:G31)</f>
        <v>3728173.91</v>
      </c>
      <c r="H32" s="41">
        <f>SUM(H22:H31)</f>
        <v>14168042.220000001</v>
      </c>
      <c r="I32" s="41">
        <f>SUM(I22:I31)</f>
        <v>58398065.189999998</v>
      </c>
      <c r="J32" s="41">
        <f>SUM(J22:J31)</f>
        <v>-266888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324565.09999999998</v>
      </c>
      <c r="G45" s="18">
        <v>22618.05</v>
      </c>
      <c r="H45" s="18">
        <f>136944.86</f>
        <v>136944.85999999999</v>
      </c>
      <c r="I45" s="18">
        <v>1691925.3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59515.37</v>
      </c>
      <c r="G47" s="18">
        <v>19204.18</v>
      </c>
      <c r="H47" s="18">
        <f>230027.22+9971707.02-10122156.19-84487.05</f>
        <v>-4908.9999999992579</v>
      </c>
      <c r="I47" s="18">
        <f>14635551.11+129775828.74-133635161.1-3036342.95</f>
        <v>7739875.7999999998</v>
      </c>
      <c r="J47" s="13">
        <f>SUM(I458)</f>
        <v>4759742.12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2716733.62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3100814.09</v>
      </c>
      <c r="G50" s="41">
        <f>SUM(G35:G49)</f>
        <v>41822.229999999996</v>
      </c>
      <c r="H50" s="41">
        <f>SUM(H35:H49)</f>
        <v>132035.86000000074</v>
      </c>
      <c r="I50" s="41">
        <f>SUM(I35:I49)</f>
        <v>9431801.0999999996</v>
      </c>
      <c r="J50" s="41">
        <f>SUM(J35:J49)</f>
        <v>4759742.12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78869911</v>
      </c>
      <c r="G51" s="41">
        <f>G50+G32</f>
        <v>3769996.14</v>
      </c>
      <c r="H51" s="41">
        <f>H50+H32</f>
        <v>14300078.080000002</v>
      </c>
      <c r="I51" s="41">
        <f>I50+I32</f>
        <v>67829866.289999992</v>
      </c>
      <c r="J51" s="41">
        <f>J50+J32</f>
        <v>4492854.12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34510485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34510485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37253.92+20235.75+57184</f>
        <v>114673.67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f>8790.74+3746.25+2624</f>
        <v>15160.99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138401.5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180569.25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2687002.29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f>528148.76+48185.53</f>
        <v>576334.29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519263.89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4231405.88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11885.6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f>5964.2+900</f>
        <v>6864.2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61634.12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80383.92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45.49</v>
      </c>
      <c r="G95" s="18">
        <v>134.57</v>
      </c>
      <c r="H95" s="18"/>
      <c r="I95" s="18">
        <v>16948.060000000001</v>
      </c>
      <c r="J95" s="18">
        <f>2923.29+195.16</f>
        <v>3118.45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436559.3+17026.3+259207.85+6867.44</f>
        <v>719660.8899999999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22511+106205+4615.01</f>
        <v>133331.01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48973.75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59905.9</v>
      </c>
      <c r="I101" s="18"/>
      <c r="J101" s="18">
        <v>3226.93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26824.93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239078.65</v>
      </c>
      <c r="G109" s="18">
        <v>10468.52</v>
      </c>
      <c r="H109" s="18">
        <v>15713.75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448253.82999999996</v>
      </c>
      <c r="G110" s="41">
        <f>SUM(G95:G109)</f>
        <v>730263.97999999986</v>
      </c>
      <c r="H110" s="41">
        <f>SUM(H95:H109)</f>
        <v>75619.649999999994</v>
      </c>
      <c r="I110" s="41">
        <f>SUM(I95:I109)</f>
        <v>16948.060000000001</v>
      </c>
      <c r="J110" s="41">
        <f>SUM(J95:J109)</f>
        <v>6345.3799999999992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39270528.630000003</v>
      </c>
      <c r="G111" s="41">
        <f>G59+G110</f>
        <v>730263.97999999986</v>
      </c>
      <c r="H111" s="41">
        <f>H59+H78+H93+H110</f>
        <v>75619.649999999994</v>
      </c>
      <c r="I111" s="41">
        <f>I59+I110</f>
        <v>16948.060000000001</v>
      </c>
      <c r="J111" s="41">
        <f>J59+J110</f>
        <v>6345.3799999999992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13142629.789999999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8360334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11387.21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57233.37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21571584.370000001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946201.88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214325.33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736297.97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302.01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>
        <v>7179.81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102054.21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9600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87124.86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1906727.19</v>
      </c>
      <c r="G135" s="41">
        <f>SUM(G122:G134)</f>
        <v>102054.21</v>
      </c>
      <c r="H135" s="41">
        <f>SUM(H122:H134)</f>
        <v>94304.67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23478311.560000002</v>
      </c>
      <c r="G139" s="41">
        <f>G120+SUM(G135:G136)</f>
        <v>102054.21</v>
      </c>
      <c r="H139" s="41">
        <f>H120+SUM(H135:H138)</f>
        <v>94304.67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974144.32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974144.32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1578546.67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570824.76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340427.29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108706.08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785223.98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1205975.43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64289.49+804484.44</f>
        <v>868773.92999999993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52989.16</v>
      </c>
      <c r="G160" s="18">
        <v>58215.02</v>
      </c>
      <c r="H160" s="18">
        <v>466806.72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921763.09</v>
      </c>
      <c r="G161" s="41">
        <f>SUM(G149:G160)</f>
        <v>843439</v>
      </c>
      <c r="H161" s="41">
        <f>SUM(H149:H160)</f>
        <v>4271286.9499999993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1895907.41</v>
      </c>
      <c r="G168" s="41">
        <f>G146+G161+SUM(G162:G167)</f>
        <v>843439</v>
      </c>
      <c r="H168" s="41">
        <f>H146+H161+SUM(H162:H167)</f>
        <v>4271286.9499999993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153107.76999999999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52940.13</v>
      </c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107198.43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160138.56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153107.76999999999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3077583.57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3077583.57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3237722.13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153107.76999999999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67882469.730000004</v>
      </c>
      <c r="G192" s="47">
        <f>G111+G139+G168+G191</f>
        <v>1675757.19</v>
      </c>
      <c r="H192" s="47">
        <f>H111+H139+H168+H191</f>
        <v>4441211.2699999996</v>
      </c>
      <c r="I192" s="47">
        <f>I111+I139+I168+I191</f>
        <v>16948.060000000001</v>
      </c>
      <c r="J192" s="47">
        <f>J111+J139+J191</f>
        <v>159453.15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7679626.18+7949.73+280369.09</f>
        <v>7967945</v>
      </c>
      <c r="G196" s="18">
        <f>3054564.55-200119.75+265640.36</f>
        <v>3120085.1599999997</v>
      </c>
      <c r="H196" s="18">
        <f>78021.09+879.84</f>
        <v>78900.929999999993</v>
      </c>
      <c r="I196" s="18">
        <f>260865.23+4568.52</f>
        <v>265433.75</v>
      </c>
      <c r="J196" s="18">
        <v>1885.86</v>
      </c>
      <c r="K196" s="18">
        <v>50</v>
      </c>
      <c r="L196" s="19">
        <f>SUM(F196:K196)</f>
        <v>11434300.699999999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2011961.69+903232.71+201.15+20174.47</f>
        <v>2935570.02</v>
      </c>
      <c r="G197" s="18">
        <f>688238.99+319774.16+15.39+1765.79+114338.27</f>
        <v>1124132.5999999999</v>
      </c>
      <c r="H197" s="18">
        <f>158636.48+81466.98+48720.12</f>
        <v>288823.58</v>
      </c>
      <c r="I197" s="18">
        <f>6583.95+6042.21+4045.39</f>
        <v>16671.55</v>
      </c>
      <c r="J197" s="18">
        <v>3738.67</v>
      </c>
      <c r="K197" s="18"/>
      <c r="L197" s="19">
        <f>SUM(F197:K197)</f>
        <v>4368936.42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9570+366.5+55214.32</f>
        <v>65150.82</v>
      </c>
      <c r="G199" s="18">
        <f>1731.96+1.45+346.2+24834.49+356.56</f>
        <v>27270.660000000003</v>
      </c>
      <c r="H199" s="18">
        <v>3312</v>
      </c>
      <c r="I199" s="18"/>
      <c r="J199" s="18"/>
      <c r="K199" s="18"/>
      <c r="L199" s="19">
        <f>SUM(F199:K199)</f>
        <v>95733.48000000001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409261.06+317670+144850.7+604952.63+228691.5+57959.43</f>
        <v>1763385.32</v>
      </c>
      <c r="G201" s="18">
        <f>142819.85+126743.85+42834.4+219241.17+86137.3+24236.36+57525.7</f>
        <v>699538.63</v>
      </c>
      <c r="H201" s="18">
        <f>8373+43332.5+198449.52+34401.89</f>
        <v>284556.90999999997</v>
      </c>
      <c r="I201" s="18">
        <f>1259+6417.72+4006.29+6933.22</f>
        <v>18616.23</v>
      </c>
      <c r="J201" s="18">
        <v>4931.2700000000004</v>
      </c>
      <c r="K201" s="18"/>
      <c r="L201" s="19">
        <f t="shared" ref="L201:L207" si="0">SUM(F201:K201)</f>
        <v>2771028.3600000003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148535.11+128929.06+179531.53</f>
        <v>456995.69999999995</v>
      </c>
      <c r="G202" s="18">
        <f>63678.23+43276.26+115924.49+11528.91</f>
        <v>234407.89</v>
      </c>
      <c r="H202" s="18">
        <f>846.68+98971.05</f>
        <v>99817.73</v>
      </c>
      <c r="I202" s="18">
        <f>15011.83+2121.15+4835.93+75849.81</f>
        <v>97818.72</v>
      </c>
      <c r="J202" s="18">
        <f>1083.19+3366.81+9779.99+5557</f>
        <v>19786.989999999998</v>
      </c>
      <c r="K202" s="18">
        <v>252.32</v>
      </c>
      <c r="L202" s="19">
        <f t="shared" si="0"/>
        <v>909079.34999999986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200638.28</v>
      </c>
      <c r="G203" s="18">
        <v>80164.53</v>
      </c>
      <c r="H203" s="18">
        <v>103526.44</v>
      </c>
      <c r="I203" s="18">
        <v>12151.33</v>
      </c>
      <c r="J203" s="18">
        <v>77.180000000000007</v>
      </c>
      <c r="K203" s="18">
        <v>3902.28</v>
      </c>
      <c r="L203" s="19">
        <f t="shared" si="0"/>
        <v>400460.04000000004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869810.43</v>
      </c>
      <c r="G204" s="18">
        <f>399577.64+32803.91</f>
        <v>432381.55000000005</v>
      </c>
      <c r="H204" s="18">
        <v>15371.32</v>
      </c>
      <c r="I204" s="18">
        <v>5689.77</v>
      </c>
      <c r="J204" s="18"/>
      <c r="K204" s="18">
        <v>4952</v>
      </c>
      <c r="L204" s="19">
        <f t="shared" si="0"/>
        <v>1328205.07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184870.05</v>
      </c>
      <c r="G205" s="18">
        <v>83943.2</v>
      </c>
      <c r="H205" s="18">
        <v>3562.07</v>
      </c>
      <c r="I205" s="18">
        <v>245.84</v>
      </c>
      <c r="J205" s="18">
        <v>323.02999999999997</v>
      </c>
      <c r="K205" s="18">
        <v>1065.3</v>
      </c>
      <c r="L205" s="19">
        <f t="shared" si="0"/>
        <v>274009.49000000005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514807.15+140527.97</f>
        <v>655335.12</v>
      </c>
      <c r="G206" s="18">
        <f>239229.73+64998.14+23057.82</f>
        <v>327285.69</v>
      </c>
      <c r="H206" s="18">
        <f>289582.54+1713.8+176371.99</f>
        <v>467668.32999999996</v>
      </c>
      <c r="I206" s="18">
        <f>39139.4+562697.85+24033.23</f>
        <v>625870.48</v>
      </c>
      <c r="J206" s="18">
        <f>10168.09+1813.09</f>
        <v>11981.18</v>
      </c>
      <c r="K206" s="18">
        <v>56.85</v>
      </c>
      <c r="L206" s="19">
        <f t="shared" si="0"/>
        <v>2088197.6500000001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570437.86+6859.92</f>
        <v>577297.78</v>
      </c>
      <c r="G207" s="18">
        <f>170169.06+118.85+540.73</f>
        <v>170828.64</v>
      </c>
      <c r="H207" s="18">
        <f>61373+1591+14566.9+16886.8</f>
        <v>94417.7</v>
      </c>
      <c r="I207" s="18">
        <v>152132.47</v>
      </c>
      <c r="J207" s="18"/>
      <c r="K207" s="18">
        <v>776.59</v>
      </c>
      <c r="L207" s="19">
        <f t="shared" si="0"/>
        <v>995453.17999999993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120984.78</v>
      </c>
      <c r="G208" s="18">
        <v>57973.75</v>
      </c>
      <c r="H208" s="18">
        <v>29529.48</v>
      </c>
      <c r="I208" s="18"/>
      <c r="J208" s="18"/>
      <c r="K208" s="18"/>
      <c r="L208" s="19">
        <f>SUM(F208:K208)</f>
        <v>208488.01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15797983.299999997</v>
      </c>
      <c r="G210" s="41">
        <f t="shared" si="1"/>
        <v>6358012.2999999998</v>
      </c>
      <c r="H210" s="41">
        <f t="shared" si="1"/>
        <v>1469486.4899999995</v>
      </c>
      <c r="I210" s="41">
        <f t="shared" si="1"/>
        <v>1194630.1400000001</v>
      </c>
      <c r="J210" s="41">
        <f t="shared" si="1"/>
        <v>42724.179999999993</v>
      </c>
      <c r="K210" s="41">
        <f t="shared" si="1"/>
        <v>11055.34</v>
      </c>
      <c r="L210" s="41">
        <f t="shared" si="1"/>
        <v>24873891.75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4586320.98+3834.75+142294.57</f>
        <v>4732450.3000000007</v>
      </c>
      <c r="G214" s="18">
        <f>1797406.1-96532.73+155105.45</f>
        <v>1855978.82</v>
      </c>
      <c r="H214" s="18">
        <f>30292.29+424.41</f>
        <v>30716.7</v>
      </c>
      <c r="I214" s="18">
        <f>111900.96+2203.75</f>
        <v>114104.71</v>
      </c>
      <c r="J214" s="18">
        <v>26558.38</v>
      </c>
      <c r="K214" s="18">
        <v>104</v>
      </c>
      <c r="L214" s="19">
        <f>SUM(F214:K214)</f>
        <v>6759912.9100000011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526588.38+804717.15+8998.51</f>
        <v>1340304.04</v>
      </c>
      <c r="G215" s="18">
        <f>163195.61+315865.51+787.61+45996.79</f>
        <v>525845.52</v>
      </c>
      <c r="H215" s="18">
        <f>584577.15+4785+21730.87</f>
        <v>611093.02</v>
      </c>
      <c r="I215" s="18">
        <f>3875.4+1804.39</f>
        <v>5679.79</v>
      </c>
      <c r="J215" s="18">
        <f>1995+1667.58</f>
        <v>3662.58</v>
      </c>
      <c r="K215" s="18"/>
      <c r="L215" s="19">
        <f>SUM(F215:K215)</f>
        <v>2486584.9500000002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32207+58587+125+26633.99</f>
        <v>117552.99</v>
      </c>
      <c r="G217" s="18">
        <f>5713.41+10382.71+18.92+11979.53+2614.8</f>
        <v>30709.37</v>
      </c>
      <c r="H217" s="18">
        <v>12948.26</v>
      </c>
      <c r="I217" s="18">
        <v>4078.17</v>
      </c>
      <c r="J217" s="18">
        <v>724.8</v>
      </c>
      <c r="K217" s="18">
        <v>2347</v>
      </c>
      <c r="L217" s="19">
        <f>SUM(F217:K217)</f>
        <v>168360.59000000003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236710.99+82177.42+52984.1+70450.9+26295.32+25963.44</f>
        <v>494582.16999999993</v>
      </c>
      <c r="G219" s="18">
        <f>82643.87+23027.45+30544.88+25394.46+1629.16+10864.29+15807.68</f>
        <v>189911.78999999998</v>
      </c>
      <c r="H219" s="18">
        <f>1096.75+15192.36+15420.39</f>
        <v>31709.5</v>
      </c>
      <c r="I219" s="18">
        <f>666.83+2290.32+575.8+3093.84</f>
        <v>6626.79</v>
      </c>
      <c r="J219" s="18">
        <f>464.55+2199.52</f>
        <v>2664.07</v>
      </c>
      <c r="K219" s="18"/>
      <c r="L219" s="19">
        <f t="shared" ref="L219:L225" si="2">SUM(F219:K219)</f>
        <v>725494.32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126060.9+86356.41</f>
        <v>212417.31</v>
      </c>
      <c r="G220" s="18">
        <f>38330.31+55530.05+4991.9</f>
        <v>98852.26</v>
      </c>
      <c r="H220" s="18">
        <f>1578+47705.1</f>
        <v>49283.1</v>
      </c>
      <c r="I220" s="18">
        <f>11088.81+2201.88+3248.57+36558.67</f>
        <v>53097.929999999993</v>
      </c>
      <c r="J220" s="18">
        <f>263.68+5300+2680.56</f>
        <v>8244.24</v>
      </c>
      <c r="K220" s="18">
        <v>120.37</v>
      </c>
      <c r="L220" s="19">
        <f t="shared" si="2"/>
        <v>422015.20999999996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96782.84</v>
      </c>
      <c r="G221" s="18">
        <v>38669.339999999997</v>
      </c>
      <c r="H221" s="18">
        <v>49938.54</v>
      </c>
      <c r="I221" s="18">
        <v>5861.5</v>
      </c>
      <c r="J221" s="18">
        <v>37.229999999999997</v>
      </c>
      <c r="K221" s="18">
        <v>1882.36</v>
      </c>
      <c r="L221" s="19">
        <f t="shared" si="2"/>
        <v>193171.81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569559.82999999996</v>
      </c>
      <c r="G222" s="18">
        <f>264653.66+20918.44</f>
        <v>285572.09999999998</v>
      </c>
      <c r="H222" s="18">
        <v>16691.810000000001</v>
      </c>
      <c r="I222" s="18">
        <v>16343.73</v>
      </c>
      <c r="J222" s="18"/>
      <c r="K222" s="18">
        <v>3176.5</v>
      </c>
      <c r="L222" s="19">
        <f t="shared" si="2"/>
        <v>891343.97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88190.77</v>
      </c>
      <c r="G223" s="18">
        <v>40044.43</v>
      </c>
      <c r="H223" s="18">
        <v>1699.26</v>
      </c>
      <c r="I223" s="18">
        <v>117.28</v>
      </c>
      <c r="J223" s="18">
        <v>154.1</v>
      </c>
      <c r="K223" s="18">
        <v>508.19</v>
      </c>
      <c r="L223" s="19">
        <f t="shared" si="2"/>
        <v>130714.03000000001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249056.13+74008.92</f>
        <v>323065.05</v>
      </c>
      <c r="G224" s="18">
        <f>128538.94+34231.21+11053.49</f>
        <v>173823.63999999998</v>
      </c>
      <c r="H224" s="18">
        <f>107437.47+92886.14</f>
        <v>200323.61</v>
      </c>
      <c r="I224" s="18">
        <f>27225.92+246282.75+12657.08</f>
        <v>286165.75</v>
      </c>
      <c r="J224" s="18">
        <f>6758.53+954.87</f>
        <v>7713.4</v>
      </c>
      <c r="K224" s="18">
        <v>29.94</v>
      </c>
      <c r="L224" s="19">
        <f t="shared" si="2"/>
        <v>991121.3899999999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275164.84000000003</v>
      </c>
      <c r="G225" s="18">
        <v>82085.25</v>
      </c>
      <c r="H225" s="18">
        <f>29604.78+20476.71+4891.4</f>
        <v>54972.89</v>
      </c>
      <c r="I225" s="18">
        <v>73384.86</v>
      </c>
      <c r="J225" s="18"/>
      <c r="K225" s="18">
        <v>374.61</v>
      </c>
      <c r="L225" s="19">
        <f t="shared" si="2"/>
        <v>485982.45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57714.81</v>
      </c>
      <c r="G226" s="18">
        <v>27655.91</v>
      </c>
      <c r="H226" s="18">
        <v>14086.8</v>
      </c>
      <c r="I226" s="18"/>
      <c r="J226" s="18"/>
      <c r="K226" s="18"/>
      <c r="L226" s="19">
        <f>SUM(F226:K226)</f>
        <v>99457.52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8307784.9499999993</v>
      </c>
      <c r="G228" s="41">
        <f>SUM(G214:G227)</f>
        <v>3349148.43</v>
      </c>
      <c r="H228" s="41">
        <f>SUM(H214:H227)</f>
        <v>1073463.49</v>
      </c>
      <c r="I228" s="41">
        <f>SUM(I214:I227)</f>
        <v>565460.51</v>
      </c>
      <c r="J228" s="41">
        <f>SUM(J214:J227)</f>
        <v>49758.8</v>
      </c>
      <c r="K228" s="41">
        <f t="shared" si="3"/>
        <v>8542.9699999999993</v>
      </c>
      <c r="L228" s="41">
        <f t="shared" si="3"/>
        <v>13354159.15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6013683.52+6651.81+230849.53+5868.49</f>
        <v>6257053.3499999996</v>
      </c>
      <c r="G232" s="18">
        <f>2394103.61-167447.16+213700.85</f>
        <v>2440357.2999999998</v>
      </c>
      <c r="H232" s="18">
        <f>370164.12+736.19</f>
        <v>370900.31</v>
      </c>
      <c r="I232" s="18">
        <f>136993.19+3822.64</f>
        <v>140815.83000000002</v>
      </c>
      <c r="J232" s="18">
        <v>2651.16</v>
      </c>
      <c r="K232" s="18">
        <v>630</v>
      </c>
      <c r="L232" s="19">
        <f>SUM(F232:K232)</f>
        <v>9212407.9499999993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1033883.26+1286621.04+18162.7</f>
        <v>2338667</v>
      </c>
      <c r="G233" s="18">
        <f>385807.66+503523.5+1589.72+76067.04</f>
        <v>966987.91999999993</v>
      </c>
      <c r="H233" s="18">
        <f>848394.88+15460.4+2000+43861.83</f>
        <v>909717.11</v>
      </c>
      <c r="I233" s="18">
        <f>1339.76+12092.47+2571.74+3641.99</f>
        <v>19645.96</v>
      </c>
      <c r="J233" s="18">
        <v>3365.85</v>
      </c>
      <c r="K233" s="18"/>
      <c r="L233" s="19">
        <f>SUM(F233:K233)</f>
        <v>4238383.84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584257.29</v>
      </c>
      <c r="G234" s="18">
        <f>233787.81+25553.77</f>
        <v>259341.58</v>
      </c>
      <c r="H234" s="18">
        <v>9056.18</v>
      </c>
      <c r="I234" s="18">
        <v>57107.71</v>
      </c>
      <c r="J234" s="18">
        <v>2253.5100000000002</v>
      </c>
      <c r="K234" s="18">
        <v>875</v>
      </c>
      <c r="L234" s="19">
        <f>SUM(F234:K234)</f>
        <v>912891.27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48849+249170+10340+46199.74</f>
        <v>354558.74</v>
      </c>
      <c r="G235" s="18">
        <f>8489.36+31281.08+1543.21+20779.88+11053.49</f>
        <v>73147.02</v>
      </c>
      <c r="H235" s="18">
        <v>130865.58</v>
      </c>
      <c r="I235" s="18">
        <v>15463.11</v>
      </c>
      <c r="J235" s="18">
        <v>10270.370000000001</v>
      </c>
      <c r="K235" s="18">
        <v>16270</v>
      </c>
      <c r="L235" s="19">
        <f>SUM(F235:K235)</f>
        <v>600574.81999999995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548205.81+106200.64+120047.42+64293.28+45814.6+51984.79</f>
        <v>936546.54000000015</v>
      </c>
      <c r="G237" s="18">
        <f>205239.27+60185.44+30225.64+20870.18+21914.72+21725.05+32566.2</f>
        <v>392726.5</v>
      </c>
      <c r="H237" s="18">
        <f>271+21750.31+21866.59+30838.58</f>
        <v>74726.48000000001</v>
      </c>
      <c r="I237" s="18">
        <f>1952.72+850.25+6239.42</f>
        <v>9042.39</v>
      </c>
      <c r="J237" s="18">
        <f>329+4439.53</f>
        <v>4768.53</v>
      </c>
      <c r="K237" s="18">
        <v>273.68</v>
      </c>
      <c r="L237" s="19">
        <f t="shared" ref="L237:L243" si="4">SUM(F237:K237)</f>
        <v>1418084.1199999999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121365.14+8928+145336.65</f>
        <v>275629.78999999998</v>
      </c>
      <c r="G238" s="18">
        <f>57192.68+683.03+89246.27+6893.58</f>
        <v>154015.56</v>
      </c>
      <c r="H238" s="18">
        <f>8055.13+82094.48</f>
        <v>90149.61</v>
      </c>
      <c r="I238" s="18">
        <f>18076.24+1719.6+6857.42+62880.98</f>
        <v>89534.24</v>
      </c>
      <c r="J238" s="18">
        <f>1333.44+19901.75+4649.74</f>
        <v>25884.93</v>
      </c>
      <c r="K238" s="18">
        <v>184.3</v>
      </c>
      <c r="L238" s="19">
        <f t="shared" si="4"/>
        <v>635398.43000000005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167881.01</v>
      </c>
      <c r="G239" s="18">
        <v>67076.44</v>
      </c>
      <c r="H239" s="18">
        <v>86624.16</v>
      </c>
      <c r="I239" s="18">
        <v>10167.44</v>
      </c>
      <c r="J239" s="18">
        <v>64.59</v>
      </c>
      <c r="K239" s="18">
        <v>3265.18</v>
      </c>
      <c r="L239" s="19">
        <f t="shared" si="4"/>
        <v>335078.82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918266.54</v>
      </c>
      <c r="G240" s="18">
        <f>389330.14+33279.33</f>
        <v>422609.47000000003</v>
      </c>
      <c r="H240" s="18">
        <f>23700.39+11795.32</f>
        <v>35495.71</v>
      </c>
      <c r="I240" s="18">
        <f>11055.28+705.95</f>
        <v>11761.230000000001</v>
      </c>
      <c r="J240" s="18">
        <v>2690.15</v>
      </c>
      <c r="K240" s="18">
        <v>10057.44</v>
      </c>
      <c r="L240" s="19">
        <f t="shared" si="4"/>
        <v>1400880.5399999998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135040.84</v>
      </c>
      <c r="G241" s="18">
        <v>61317.45</v>
      </c>
      <c r="H241" s="18">
        <v>2601.96</v>
      </c>
      <c r="I241" s="18">
        <v>179.58</v>
      </c>
      <c r="J241" s="18">
        <v>235.96</v>
      </c>
      <c r="K241" s="18">
        <v>778.16</v>
      </c>
      <c r="L241" s="19">
        <f t="shared" si="4"/>
        <v>200153.94999999995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437911.59+156249.3</f>
        <v>594160.89</v>
      </c>
      <c r="G242" s="18">
        <f>174447.81+72269.7+16996.23</f>
        <v>263713.74</v>
      </c>
      <c r="H242" s="18">
        <f>287005.74+1463+196103.31</f>
        <v>484572.05</v>
      </c>
      <c r="I242" s="18">
        <f>42640.89+747930.26+26721.91</f>
        <v>817293.06</v>
      </c>
      <c r="J242" s="18">
        <f>27020.69+2015.94</f>
        <v>29036.629999999997</v>
      </c>
      <c r="K242" s="18">
        <v>63.21</v>
      </c>
      <c r="L242" s="19">
        <f t="shared" si="4"/>
        <v>2188839.58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477305.16</v>
      </c>
      <c r="G243" s="18">
        <v>142386.34</v>
      </c>
      <c r="H243" s="18">
        <f>51352.93+13815.8+99956.6+18333.5</f>
        <v>183458.83000000002</v>
      </c>
      <c r="I243" s="18">
        <v>127294.52</v>
      </c>
      <c r="J243" s="18"/>
      <c r="K243" s="18">
        <v>649.79999999999995</v>
      </c>
      <c r="L243" s="19">
        <f t="shared" si="4"/>
        <v>931094.65000000014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88374.98</v>
      </c>
      <c r="G244" s="18">
        <v>42347.71</v>
      </c>
      <c r="H244" s="18">
        <v>21570.22</v>
      </c>
      <c r="I244" s="18"/>
      <c r="J244" s="18"/>
      <c r="K244" s="18"/>
      <c r="L244" s="19">
        <f>SUM(F244:K244)</f>
        <v>152292.91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13127742.130000003</v>
      </c>
      <c r="G246" s="41">
        <f t="shared" si="5"/>
        <v>5286027.03</v>
      </c>
      <c r="H246" s="41">
        <f t="shared" si="5"/>
        <v>2399738.2000000002</v>
      </c>
      <c r="I246" s="41">
        <f t="shared" si="5"/>
        <v>1298305.07</v>
      </c>
      <c r="J246" s="41">
        <f t="shared" si="5"/>
        <v>81221.679999999993</v>
      </c>
      <c r="K246" s="41">
        <f t="shared" si="5"/>
        <v>33046.769999999997</v>
      </c>
      <c r="L246" s="41">
        <f t="shared" si="5"/>
        <v>22226080.879999999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393118.7</v>
      </c>
      <c r="G250" s="18">
        <f>97215.89+10578.07</f>
        <v>107793.95999999999</v>
      </c>
      <c r="H250" s="18">
        <v>110693.14</v>
      </c>
      <c r="I250" s="18">
        <v>17198.259999999998</v>
      </c>
      <c r="J250" s="18"/>
      <c r="K250" s="18">
        <v>11111.15</v>
      </c>
      <c r="L250" s="19">
        <f t="shared" si="6"/>
        <v>639915.21000000008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212833.45+15487</f>
        <v>228320.45</v>
      </c>
      <c r="I254" s="18"/>
      <c r="J254" s="18"/>
      <c r="K254" s="18"/>
      <c r="L254" s="19">
        <f t="shared" si="6"/>
        <v>228320.45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393118.7</v>
      </c>
      <c r="G255" s="41">
        <f t="shared" si="7"/>
        <v>107793.95999999999</v>
      </c>
      <c r="H255" s="41">
        <f t="shared" si="7"/>
        <v>339013.59</v>
      </c>
      <c r="I255" s="41">
        <f t="shared" si="7"/>
        <v>17198.259999999998</v>
      </c>
      <c r="J255" s="41">
        <f t="shared" si="7"/>
        <v>0</v>
      </c>
      <c r="K255" s="41">
        <f t="shared" si="7"/>
        <v>11111.15</v>
      </c>
      <c r="L255" s="41">
        <f>SUM(F255:K255)</f>
        <v>868235.66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37626629.079999998</v>
      </c>
      <c r="G256" s="41">
        <f t="shared" si="8"/>
        <v>15100981.720000003</v>
      </c>
      <c r="H256" s="41">
        <f t="shared" si="8"/>
        <v>5281701.7699999996</v>
      </c>
      <c r="I256" s="41">
        <f t="shared" si="8"/>
        <v>3075593.98</v>
      </c>
      <c r="J256" s="41">
        <f t="shared" si="8"/>
        <v>173704.65999999997</v>
      </c>
      <c r="K256" s="41">
        <f t="shared" si="8"/>
        <v>63756.229999999996</v>
      </c>
      <c r="L256" s="41">
        <f t="shared" si="8"/>
        <v>61322367.439999998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2529999.99+277234</f>
        <v>2807233.99</v>
      </c>
      <c r="L259" s="19">
        <f>SUM(F259:K259)</f>
        <v>2807233.99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2951592.5+296965.87+226844.46</f>
        <v>3475402.83</v>
      </c>
      <c r="L260" s="19">
        <f>SUM(F260:K260)</f>
        <v>3475402.83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153107.76999999999</v>
      </c>
      <c r="L265" s="19">
        <f t="shared" si="9"/>
        <v>153107.76999999999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6435744.5899999999</v>
      </c>
      <c r="L269" s="41">
        <f t="shared" si="9"/>
        <v>6435744.5899999999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37626629.079999998</v>
      </c>
      <c r="G270" s="42">
        <f t="shared" si="11"/>
        <v>15100981.720000003</v>
      </c>
      <c r="H270" s="42">
        <f t="shared" si="11"/>
        <v>5281701.7699999996</v>
      </c>
      <c r="I270" s="42">
        <f t="shared" si="11"/>
        <v>3075593.98</v>
      </c>
      <c r="J270" s="42">
        <f t="shared" si="11"/>
        <v>173704.65999999997</v>
      </c>
      <c r="K270" s="42">
        <f t="shared" si="11"/>
        <v>6499500.8200000003</v>
      </c>
      <c r="L270" s="42">
        <f t="shared" si="11"/>
        <v>67758112.030000001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75749.74</f>
        <v>75749.740000000005</v>
      </c>
      <c r="G275" s="18">
        <f>201287+16140.19</f>
        <v>217427.19</v>
      </c>
      <c r="H275" s="18">
        <f>470.01+2170</f>
        <v>2640.01</v>
      </c>
      <c r="I275" s="18">
        <f>610.1+11958.4</f>
        <v>12568.5</v>
      </c>
      <c r="J275" s="18">
        <f>2582.03+8367.75</f>
        <v>10949.78</v>
      </c>
      <c r="K275" s="18"/>
      <c r="L275" s="19">
        <f>SUM(F275:K275)</f>
        <v>319335.22000000003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458932.74+416976</f>
        <v>875908.74</v>
      </c>
      <c r="G276" s="18">
        <f>145288.34+120174.23</f>
        <v>265462.57</v>
      </c>
      <c r="H276" s="18">
        <v>77629.33</v>
      </c>
      <c r="I276" s="18">
        <f>748.66+1149.7+34729.48</f>
        <v>36627.840000000004</v>
      </c>
      <c r="J276" s="18">
        <f>2598+6193.84+7421.42</f>
        <v>16213.26</v>
      </c>
      <c r="K276" s="18"/>
      <c r="L276" s="19">
        <f>SUM(F276:K276)</f>
        <v>1271841.7400000002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77541.58+115233.25</f>
        <v>192774.83000000002</v>
      </c>
      <c r="G278" s="18">
        <f>11998.88+14006.61</f>
        <v>26005.489999999998</v>
      </c>
      <c r="H278" s="18">
        <v>6000</v>
      </c>
      <c r="I278" s="18">
        <f>36723.15+7567.6</f>
        <v>44290.75</v>
      </c>
      <c r="J278" s="18">
        <v>36730.949999999997</v>
      </c>
      <c r="K278" s="18"/>
      <c r="L278" s="19">
        <f>SUM(F278:K278)</f>
        <v>305802.02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1972.05+12413.6+98205.75+4943.6</f>
        <v>117535</v>
      </c>
      <c r="G280" s="18">
        <f>378.5+4022.8+8326.96+441.09</f>
        <v>13169.349999999999</v>
      </c>
      <c r="H280" s="18">
        <f>2025+123+49471.64</f>
        <v>51619.64</v>
      </c>
      <c r="I280" s="18">
        <f>335.64+75.56+750+600+6730.51</f>
        <v>8491.7100000000009</v>
      </c>
      <c r="J280" s="18">
        <v>2199.12</v>
      </c>
      <c r="K280" s="18"/>
      <c r="L280" s="19">
        <f t="shared" ref="L280:L286" si="12">SUM(F280:K280)</f>
        <v>193014.81999999998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225+29015.03+6271.76+71309.27</f>
        <v>106821.06</v>
      </c>
      <c r="G281" s="18">
        <f>27.33+2829.03+544.07+12710.06</f>
        <v>16110.49</v>
      </c>
      <c r="H281" s="18">
        <f>6720+42833.22+3333.31+68116.74</f>
        <v>121003.27</v>
      </c>
      <c r="I281" s="18">
        <f>884.75+11717.22</f>
        <v>12601.97</v>
      </c>
      <c r="J281" s="18">
        <v>1980.96</v>
      </c>
      <c r="K281" s="18"/>
      <c r="L281" s="19">
        <f t="shared" si="12"/>
        <v>258517.75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2175.34</v>
      </c>
      <c r="G282" s="18">
        <v>802.7</v>
      </c>
      <c r="H282" s="18"/>
      <c r="I282" s="18"/>
      <c r="J282" s="18"/>
      <c r="K282" s="18"/>
      <c r="L282" s="19">
        <f t="shared" si="12"/>
        <v>2978.04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8702.08</v>
      </c>
      <c r="I286" s="18"/>
      <c r="J286" s="18"/>
      <c r="K286" s="18"/>
      <c r="L286" s="19">
        <f t="shared" si="12"/>
        <v>8702.08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1370964.7100000002</v>
      </c>
      <c r="G289" s="42">
        <f t="shared" si="13"/>
        <v>538977.78999999992</v>
      </c>
      <c r="H289" s="42">
        <f t="shared" si="13"/>
        <v>267594.33</v>
      </c>
      <c r="I289" s="42">
        <f t="shared" si="13"/>
        <v>114580.77</v>
      </c>
      <c r="J289" s="42">
        <f t="shared" si="13"/>
        <v>68074.070000000007</v>
      </c>
      <c r="K289" s="42">
        <f t="shared" si="13"/>
        <v>0</v>
      </c>
      <c r="L289" s="41">
        <f t="shared" si="13"/>
        <v>2360191.6700000004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>
        <v>97095.77</v>
      </c>
      <c r="H294" s="18">
        <v>226.72</v>
      </c>
      <c r="I294" s="18">
        <f>294.3+7339.31</f>
        <v>7633.6100000000006</v>
      </c>
      <c r="J294" s="18">
        <f>1245.5+1500</f>
        <v>2745.5</v>
      </c>
      <c r="K294" s="18"/>
      <c r="L294" s="19">
        <f>SUM(F294:K294)</f>
        <v>107701.6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177371.3+82401.31</f>
        <v>259772.61</v>
      </c>
      <c r="G295" s="18">
        <f>61409.17+14392.89</f>
        <v>75802.06</v>
      </c>
      <c r="H295" s="18">
        <v>34625.370000000003</v>
      </c>
      <c r="I295" s="18">
        <v>15490.55</v>
      </c>
      <c r="J295" s="18">
        <v>3310.21</v>
      </c>
      <c r="K295" s="18"/>
      <c r="L295" s="19">
        <f>SUM(F295:K295)</f>
        <v>389000.8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f>33584+11805.75</f>
        <v>45389.75</v>
      </c>
      <c r="G297" s="18">
        <f>5870.54+2086.54</f>
        <v>7957.08</v>
      </c>
      <c r="H297" s="18"/>
      <c r="I297" s="18">
        <f>4402.08+8178.9</f>
        <v>12580.98</v>
      </c>
      <c r="J297" s="18"/>
      <c r="K297" s="18"/>
      <c r="L297" s="19">
        <f>SUM(F297:K297)</f>
        <v>65927.81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2384.67</v>
      </c>
      <c r="G299" s="18">
        <v>212.77</v>
      </c>
      <c r="H299" s="18">
        <v>23863.87</v>
      </c>
      <c r="I299" s="18">
        <f>207.9+3246.63</f>
        <v>3454.53</v>
      </c>
      <c r="J299" s="18">
        <v>1060.8</v>
      </c>
      <c r="K299" s="18"/>
      <c r="L299" s="19">
        <f t="shared" ref="L299:L305" si="14">SUM(F299:K299)</f>
        <v>30976.639999999996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3714+34017.52</f>
        <v>37731.519999999997</v>
      </c>
      <c r="G300" s="18">
        <f>536.94+6063.23</f>
        <v>6600.17</v>
      </c>
      <c r="H300" s="18">
        <f>21894.17+22134.2+32494.54</f>
        <v>76522.91</v>
      </c>
      <c r="I300" s="18">
        <v>5589.6</v>
      </c>
      <c r="J300" s="18">
        <v>945</v>
      </c>
      <c r="K300" s="18"/>
      <c r="L300" s="19">
        <f t="shared" si="14"/>
        <v>127389.20000000001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1049.33</v>
      </c>
      <c r="G301" s="18">
        <v>387.2</v>
      </c>
      <c r="H301" s="18"/>
      <c r="I301" s="18"/>
      <c r="J301" s="18"/>
      <c r="K301" s="18"/>
      <c r="L301" s="19">
        <f t="shared" si="14"/>
        <v>1436.53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4646.22</v>
      </c>
      <c r="I305" s="18"/>
      <c r="J305" s="18"/>
      <c r="K305" s="18"/>
      <c r="L305" s="19">
        <f t="shared" si="14"/>
        <v>4646.22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346327.88</v>
      </c>
      <c r="G308" s="42">
        <f t="shared" si="15"/>
        <v>188055.05000000002</v>
      </c>
      <c r="H308" s="42">
        <f t="shared" si="15"/>
        <v>139885.09</v>
      </c>
      <c r="I308" s="42">
        <f t="shared" si="15"/>
        <v>44749.27</v>
      </c>
      <c r="J308" s="42">
        <f t="shared" si="15"/>
        <v>8061.51</v>
      </c>
      <c r="K308" s="42">
        <f t="shared" si="15"/>
        <v>0</v>
      </c>
      <c r="L308" s="41">
        <f t="shared" si="15"/>
        <v>727078.8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15530.1</f>
        <v>15530.1</v>
      </c>
      <c r="G313" s="18">
        <f>168423.81+4467.38</f>
        <v>172891.19</v>
      </c>
      <c r="H313" s="18">
        <f>393.27+300</f>
        <v>693.27</v>
      </c>
      <c r="I313" s="18">
        <f>510.49+8340.24</f>
        <v>8850.73</v>
      </c>
      <c r="J313" s="18">
        <f>2160.47+15198.81</f>
        <v>17359.28</v>
      </c>
      <c r="K313" s="18"/>
      <c r="L313" s="19">
        <f>SUM(F313:K313)</f>
        <v>215324.57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72174.57+19207.51</f>
        <v>91382.080000000002</v>
      </c>
      <c r="G314" s="18">
        <f>27137.55+1682.01</f>
        <v>28819.559999999998</v>
      </c>
      <c r="H314" s="18">
        <f>-2000+69888.25</f>
        <v>67888.25</v>
      </c>
      <c r="I314" s="18">
        <f>2097.9-2571.74+31266.31</f>
        <v>30792.47</v>
      </c>
      <c r="J314" s="18">
        <f>32438+6681.37</f>
        <v>39119.370000000003</v>
      </c>
      <c r="K314" s="18"/>
      <c r="L314" s="19">
        <f>SUM(F314:K314)</f>
        <v>258001.73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51470.9+17235.01+45953.5</f>
        <v>114659.41</v>
      </c>
      <c r="G315" s="18">
        <f>18016.64+2146.78+22298.89</f>
        <v>42462.31</v>
      </c>
      <c r="H315" s="18">
        <f>9281.43+2854.63+800.39+373.14</f>
        <v>13309.59</v>
      </c>
      <c r="I315" s="18">
        <f>3237.09+1927.88+10527.51+2590.81</f>
        <v>18283.29</v>
      </c>
      <c r="J315" s="18">
        <f>6144.91+22788.14</f>
        <v>28933.05</v>
      </c>
      <c r="K315" s="18"/>
      <c r="L315" s="19">
        <f>SUM(F315:K315)</f>
        <v>217647.65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f>1892+3850.64</f>
        <v>5742.6399999999994</v>
      </c>
      <c r="G316" s="18">
        <f>230.28+560.87</f>
        <v>791.15</v>
      </c>
      <c r="H316" s="18">
        <v>60</v>
      </c>
      <c r="I316" s="18">
        <f>1013.3+12150.8</f>
        <v>13164.099999999999</v>
      </c>
      <c r="J316" s="18">
        <v>2300</v>
      </c>
      <c r="K316" s="18"/>
      <c r="L316" s="19">
        <f>SUM(F316:K316)</f>
        <v>22057.89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20803.5+4136.49</f>
        <v>24939.989999999998</v>
      </c>
      <c r="G318" s="18">
        <f>17608.88+369.08</f>
        <v>17977.960000000003</v>
      </c>
      <c r="H318" s="18">
        <v>41394.629999999997</v>
      </c>
      <c r="I318" s="18">
        <f>176.25+5631.66</f>
        <v>5807.91</v>
      </c>
      <c r="J318" s="18">
        <v>1840.08</v>
      </c>
      <c r="K318" s="18"/>
      <c r="L318" s="19">
        <f t="shared" ref="L318:L324" si="16">SUM(F318:K318)</f>
        <v>91960.569999999992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619.84+29172.3+952+52088.83</f>
        <v>82832.97</v>
      </c>
      <c r="G319" s="18">
        <f>51.89+9219.07+72.94+9284.23</f>
        <v>18628.129999999997</v>
      </c>
      <c r="H319" s="18">
        <f>6785.58+1195+3500+49756.8</f>
        <v>61237.380000000005</v>
      </c>
      <c r="I319" s="18">
        <f>15626.8+825.79+8559</f>
        <v>25011.59</v>
      </c>
      <c r="J319" s="18">
        <f>23728.6+1447.02+998</f>
        <v>26173.62</v>
      </c>
      <c r="K319" s="18">
        <v>10683</v>
      </c>
      <c r="L319" s="19">
        <f t="shared" si="16"/>
        <v>224566.69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1820.17</v>
      </c>
      <c r="G320" s="18">
        <v>671.65</v>
      </c>
      <c r="H320" s="18"/>
      <c r="I320" s="18"/>
      <c r="J320" s="18"/>
      <c r="K320" s="18"/>
      <c r="L320" s="19">
        <f t="shared" si="16"/>
        <v>2491.8200000000002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15123.7+7161.02+890</f>
        <v>23174.720000000001</v>
      </c>
      <c r="I324" s="18"/>
      <c r="J324" s="18"/>
      <c r="K324" s="18"/>
      <c r="L324" s="19">
        <f t="shared" si="16"/>
        <v>23174.720000000001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336907.36000000004</v>
      </c>
      <c r="G327" s="42">
        <f t="shared" si="17"/>
        <v>282241.95</v>
      </c>
      <c r="H327" s="42">
        <f t="shared" si="17"/>
        <v>207757.84</v>
      </c>
      <c r="I327" s="42">
        <f t="shared" si="17"/>
        <v>101910.09</v>
      </c>
      <c r="J327" s="42">
        <f t="shared" si="17"/>
        <v>115725.4</v>
      </c>
      <c r="K327" s="42">
        <f t="shared" si="17"/>
        <v>10683</v>
      </c>
      <c r="L327" s="41">
        <f t="shared" si="17"/>
        <v>1055225.6400000001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77565.91</v>
      </c>
      <c r="G332" s="18">
        <v>9865.11</v>
      </c>
      <c r="H332" s="18">
        <v>12072.25</v>
      </c>
      <c r="I332" s="18">
        <v>28120.01</v>
      </c>
      <c r="J332" s="18">
        <v>37613.050000000003</v>
      </c>
      <c r="K332" s="18"/>
      <c r="L332" s="19">
        <f t="shared" si="18"/>
        <v>165236.33000000002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1500</v>
      </c>
      <c r="I334" s="18">
        <v>1439.23</v>
      </c>
      <c r="J334" s="18"/>
      <c r="K334" s="18"/>
      <c r="L334" s="19">
        <f t="shared" si="18"/>
        <v>2939.23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77565.91</v>
      </c>
      <c r="G336" s="41">
        <f t="shared" si="19"/>
        <v>9865.11</v>
      </c>
      <c r="H336" s="41">
        <f t="shared" si="19"/>
        <v>13572.25</v>
      </c>
      <c r="I336" s="41">
        <f t="shared" si="19"/>
        <v>29559.239999999998</v>
      </c>
      <c r="J336" s="41">
        <f t="shared" si="19"/>
        <v>37613.050000000003</v>
      </c>
      <c r="K336" s="41">
        <f t="shared" si="19"/>
        <v>0</v>
      </c>
      <c r="L336" s="41">
        <f t="shared" si="18"/>
        <v>168175.56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2131765.8600000003</v>
      </c>
      <c r="G337" s="41">
        <f t="shared" si="20"/>
        <v>1019139.9</v>
      </c>
      <c r="H337" s="41">
        <f t="shared" si="20"/>
        <v>628809.51</v>
      </c>
      <c r="I337" s="41">
        <f t="shared" si="20"/>
        <v>290799.37</v>
      </c>
      <c r="J337" s="41">
        <f t="shared" si="20"/>
        <v>229474.02999999997</v>
      </c>
      <c r="K337" s="41">
        <f t="shared" si="20"/>
        <v>10683</v>
      </c>
      <c r="L337" s="41">
        <f t="shared" si="20"/>
        <v>4310671.6700000009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107028.23</v>
      </c>
      <c r="L343" s="19">
        <f t="shared" ref="L343:L349" si="21">SUM(F343:K343)</f>
        <v>107028.23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107028.23</v>
      </c>
      <c r="L350" s="41">
        <f>SUM(L340:L349)</f>
        <v>107028.23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2131765.8600000003</v>
      </c>
      <c r="G351" s="41">
        <f>G337</f>
        <v>1019139.9</v>
      </c>
      <c r="H351" s="41">
        <f>H337</f>
        <v>628809.51</v>
      </c>
      <c r="I351" s="41">
        <f>I337</f>
        <v>290799.37</v>
      </c>
      <c r="J351" s="41">
        <f>J337</f>
        <v>229474.02999999997</v>
      </c>
      <c r="K351" s="47">
        <f>K337+K350</f>
        <v>117711.23</v>
      </c>
      <c r="L351" s="41">
        <f>L337+L350</f>
        <v>4417699.9000000013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195584.55+70407.08</f>
        <v>265991.63</v>
      </c>
      <c r="G357" s="18">
        <f>59467.19+22626.96</f>
        <v>82094.149999999994</v>
      </c>
      <c r="H357" s="18">
        <f>24527.12+3388.7</f>
        <v>27915.82</v>
      </c>
      <c r="I357" s="18">
        <f>254421.26+68703.71</f>
        <v>323124.97000000003</v>
      </c>
      <c r="J357" s="18"/>
      <c r="K357" s="18"/>
      <c r="L357" s="13">
        <f>SUM(F357:K357)</f>
        <v>699126.57000000007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103956.86+33962.6</f>
        <v>137919.46</v>
      </c>
      <c r="G358" s="18">
        <f>34601.58+10914.68</f>
        <v>45516.26</v>
      </c>
      <c r="H358" s="18">
        <f>9074.95+1634.63</f>
        <v>10709.580000000002</v>
      </c>
      <c r="I358" s="18">
        <f>193474.96+33140.94</f>
        <v>226615.9</v>
      </c>
      <c r="J358" s="18"/>
      <c r="K358" s="18"/>
      <c r="L358" s="19">
        <f>SUM(F358:K358)</f>
        <v>420761.19999999995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132131.64+58912.04</f>
        <v>191043.68000000002</v>
      </c>
      <c r="G359" s="18">
        <f>31383.13+18932.76</f>
        <v>50315.89</v>
      </c>
      <c r="H359" s="18">
        <f>6839.33+2835.44</f>
        <v>9674.77</v>
      </c>
      <c r="I359" s="18">
        <f>297164.08+57486.78</f>
        <v>354650.86</v>
      </c>
      <c r="J359" s="18">
        <v>1877.99</v>
      </c>
      <c r="K359" s="18">
        <v>1689.27</v>
      </c>
      <c r="L359" s="19">
        <f>SUM(F359:K359)</f>
        <v>609252.46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52904.13</v>
      </c>
      <c r="L360" s="13">
        <f>SUM(F360:K360)</f>
        <v>52904.13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594954.77</v>
      </c>
      <c r="G361" s="47">
        <f t="shared" si="22"/>
        <v>177926.3</v>
      </c>
      <c r="H361" s="47">
        <f t="shared" si="22"/>
        <v>48300.17</v>
      </c>
      <c r="I361" s="47">
        <f t="shared" si="22"/>
        <v>904391.73</v>
      </c>
      <c r="J361" s="47">
        <f t="shared" si="22"/>
        <v>1877.99</v>
      </c>
      <c r="K361" s="47">
        <f t="shared" si="22"/>
        <v>54593.399999999994</v>
      </c>
      <c r="L361" s="47">
        <f t="shared" si="22"/>
        <v>1782044.3599999999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356757.77</v>
      </c>
      <c r="G366" s="18">
        <v>172089.93</v>
      </c>
      <c r="H366" s="18">
        <v>298509.84999999998</v>
      </c>
      <c r="I366" s="56">
        <f>SUM(F366:H366)</f>
        <v>827357.54999999993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33217.339999999997</v>
      </c>
      <c r="G367" s="63">
        <v>16022.85</v>
      </c>
      <c r="H367" s="63">
        <v>27793.99</v>
      </c>
      <c r="I367" s="56">
        <f>SUM(F367:H367)</f>
        <v>77034.179999999993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389975.11</v>
      </c>
      <c r="G368" s="47">
        <f>SUM(G366:G367)</f>
        <v>188112.78</v>
      </c>
      <c r="H368" s="47">
        <f>SUM(H366:H367)</f>
        <v>326303.83999999997</v>
      </c>
      <c r="I368" s="47">
        <f>SUM(I366:I367)</f>
        <v>904391.73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18992.93</v>
      </c>
      <c r="I374" s="18"/>
      <c r="J374" s="18"/>
      <c r="K374" s="18"/>
      <c r="L374" s="13">
        <f t="shared" ref="L374:L380" si="23">SUM(F374:K374)</f>
        <v>18992.93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913864.89</v>
      </c>
      <c r="I375" s="18"/>
      <c r="J375" s="18"/>
      <c r="K375" s="18"/>
      <c r="L375" s="13">
        <f t="shared" si="23"/>
        <v>913864.89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f>33496981.31+23.08</f>
        <v>33497004.389999997</v>
      </c>
      <c r="I377" s="18"/>
      <c r="J377" s="18">
        <f>287781.86-25.5</f>
        <v>287756.36</v>
      </c>
      <c r="K377" s="18"/>
      <c r="L377" s="13">
        <f t="shared" si="23"/>
        <v>33784760.75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f>18619.02+1549.17+31956.5</f>
        <v>52124.69</v>
      </c>
      <c r="I378" s="18">
        <v>8425.08</v>
      </c>
      <c r="J378" s="18"/>
      <c r="K378" s="18"/>
      <c r="L378" s="13">
        <f t="shared" si="23"/>
        <v>60549.770000000004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300783.07</v>
      </c>
      <c r="G379" s="18">
        <v>78299.009999999995</v>
      </c>
      <c r="H379" s="18">
        <v>201869.57</v>
      </c>
      <c r="I379" s="18">
        <v>4785.8</v>
      </c>
      <c r="J379" s="18">
        <v>1279193.94</v>
      </c>
      <c r="K379" s="18"/>
      <c r="L379" s="13">
        <f t="shared" si="23"/>
        <v>1864931.3900000001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300783.07</v>
      </c>
      <c r="G381" s="139">
        <f t="shared" ref="G381:L381" si="24">SUM(G373:G380)</f>
        <v>78299.009999999995</v>
      </c>
      <c r="H381" s="139">
        <f t="shared" si="24"/>
        <v>34683856.469999991</v>
      </c>
      <c r="I381" s="41">
        <f t="shared" si="24"/>
        <v>13210.880000000001</v>
      </c>
      <c r="J381" s="47">
        <f t="shared" si="24"/>
        <v>1566950.2999999998</v>
      </c>
      <c r="K381" s="47">
        <f t="shared" si="24"/>
        <v>0</v>
      </c>
      <c r="L381" s="47">
        <f t="shared" si="24"/>
        <v>36643099.730000004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153107.76999999999</v>
      </c>
      <c r="H399" s="18">
        <f>2923.29+195.16</f>
        <v>3118.45</v>
      </c>
      <c r="I399" s="18">
        <v>3226.93</v>
      </c>
      <c r="J399" s="24" t="s">
        <v>289</v>
      </c>
      <c r="K399" s="24" t="s">
        <v>289</v>
      </c>
      <c r="L399" s="56">
        <f t="shared" si="26"/>
        <v>159453.15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153107.76999999999</v>
      </c>
      <c r="H400" s="47">
        <f>SUM(H394:H399)</f>
        <v>3118.45</v>
      </c>
      <c r="I400" s="47">
        <f>SUM(I394:I399)</f>
        <v>3226.93</v>
      </c>
      <c r="J400" s="45" t="s">
        <v>289</v>
      </c>
      <c r="K400" s="45" t="s">
        <v>289</v>
      </c>
      <c r="L400" s="47">
        <f>SUM(L394:L399)</f>
        <v>159453.15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153107.76999999999</v>
      </c>
      <c r="H407" s="47">
        <f>H392+H400+H406</f>
        <v>3118.45</v>
      </c>
      <c r="I407" s="47">
        <f>I392+I400+I406</f>
        <v>3226.93</v>
      </c>
      <c r="J407" s="24" t="s">
        <v>289</v>
      </c>
      <c r="K407" s="24" t="s">
        <v>289</v>
      </c>
      <c r="L407" s="47">
        <f>L392+L400+L406</f>
        <v>159453.15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3077583.57</v>
      </c>
      <c r="L425" s="56">
        <f t="shared" si="29"/>
        <v>3077583.57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3077583.57</v>
      </c>
      <c r="L426" s="47">
        <f t="shared" si="30"/>
        <v>3077583.57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19620.97</v>
      </c>
      <c r="I428" s="18"/>
      <c r="J428" s="18"/>
      <c r="K428" s="18"/>
      <c r="L428" s="56">
        <f>SUM(F428:K428)</f>
        <v>19620.97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19620.97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19620.97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19620.97</v>
      </c>
      <c r="I433" s="47">
        <f t="shared" si="32"/>
        <v>0</v>
      </c>
      <c r="J433" s="47">
        <f t="shared" si="32"/>
        <v>0</v>
      </c>
      <c r="K433" s="47">
        <f t="shared" si="32"/>
        <v>3077583.57</v>
      </c>
      <c r="L433" s="47">
        <f t="shared" si="32"/>
        <v>3097204.54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4450848.43+321714.19</f>
        <v>4772562.62</v>
      </c>
      <c r="H438" s="18"/>
      <c r="I438" s="56">
        <f t="shared" ref="I438:I444" si="33">SUM(F438:H438)</f>
        <v>4772562.62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f>-347559.2+67850.7</f>
        <v>-279708.5</v>
      </c>
      <c r="H440" s="18"/>
      <c r="I440" s="56">
        <f t="shared" si="33"/>
        <v>-279708.5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4492854.12</v>
      </c>
      <c r="H445" s="13">
        <f>SUM(H438:H444)</f>
        <v>0</v>
      </c>
      <c r="I445" s="13">
        <f>SUM(I438:I444)</f>
        <v>4492854.12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f>-334738.7+67850.7</f>
        <v>-266888</v>
      </c>
      <c r="H447" s="18"/>
      <c r="I447" s="56">
        <f>SUM(F447:H447)</f>
        <v>-266888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-266888</v>
      </c>
      <c r="H451" s="72">
        <f>SUM(H447:H450)</f>
        <v>0</v>
      </c>
      <c r="I451" s="72">
        <f>SUM(I447:I450)</f>
        <v>-266888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4438027.93+321714.19</f>
        <v>4759742.12</v>
      </c>
      <c r="H458" s="18"/>
      <c r="I458" s="56">
        <f t="shared" si="34"/>
        <v>4759742.12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4759742.12</v>
      </c>
      <c r="H459" s="83">
        <f>SUM(H453:H458)</f>
        <v>0</v>
      </c>
      <c r="I459" s="83">
        <f>SUM(I453:I458)</f>
        <v>4759742.12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4492854.12</v>
      </c>
      <c r="H460" s="42">
        <f>H451+H459</f>
        <v>0</v>
      </c>
      <c r="I460" s="42">
        <f>I451+I459</f>
        <v>4492854.12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2976456.39</v>
      </c>
      <c r="G464" s="18">
        <v>148109.4</v>
      </c>
      <c r="H464" s="18">
        <v>108524.49</v>
      </c>
      <c r="I464" s="18">
        <v>46057952.770000003</v>
      </c>
      <c r="J464" s="18">
        <v>7697493.5099999998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67882469.730000004</v>
      </c>
      <c r="G467" s="18">
        <v>1675757.19</v>
      </c>
      <c r="H467" s="18">
        <v>4441211.2699999996</v>
      </c>
      <c r="I467" s="18">
        <v>16948.060000000001</v>
      </c>
      <c r="J467" s="18">
        <v>159453.15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67882469.730000004</v>
      </c>
      <c r="G469" s="53">
        <f>SUM(G467:G468)</f>
        <v>1675757.19</v>
      </c>
      <c r="H469" s="53">
        <f>SUM(H467:H468)</f>
        <v>4441211.2699999996</v>
      </c>
      <c r="I469" s="53">
        <f>SUM(I467:I468)</f>
        <v>16948.060000000001</v>
      </c>
      <c r="J469" s="53">
        <f>SUM(J467:J468)</f>
        <v>159453.15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67758112.030000001</v>
      </c>
      <c r="G471" s="18">
        <v>1782044.36</v>
      </c>
      <c r="H471" s="18">
        <v>4417699.9000000004</v>
      </c>
      <c r="I471" s="18">
        <v>36643099.729999997</v>
      </c>
      <c r="J471" s="18">
        <v>3097204.54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67758112.030000001</v>
      </c>
      <c r="G473" s="53">
        <f>SUM(G471:G472)</f>
        <v>1782044.36</v>
      </c>
      <c r="H473" s="53">
        <f>SUM(H471:H472)</f>
        <v>4417699.9000000004</v>
      </c>
      <c r="I473" s="53">
        <f>SUM(I471:I472)</f>
        <v>36643099.729999997</v>
      </c>
      <c r="J473" s="53">
        <f>SUM(J471:J472)</f>
        <v>3097204.54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3100814.0900000036</v>
      </c>
      <c r="G475" s="53">
        <f>(G464+G469)- G473</f>
        <v>41822.229999999749</v>
      </c>
      <c r="H475" s="53">
        <f>(H464+H469)- H473</f>
        <v>132035.8599999994</v>
      </c>
      <c r="I475" s="53">
        <f>(I464+I469)- I473</f>
        <v>9431801.1000000089</v>
      </c>
      <c r="J475" s="53">
        <f>(J464+J469)- J473</f>
        <v>4759742.12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271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33198041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912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66958728.979999997</v>
      </c>
      <c r="G494" s="18"/>
      <c r="H494" s="18"/>
      <c r="I494" s="18"/>
      <c r="J494" s="18"/>
      <c r="K494" s="53">
        <f>SUM(F494:J494)</f>
        <v>66958728.979999997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2807233.99</v>
      </c>
      <c r="G496" s="18"/>
      <c r="H496" s="18"/>
      <c r="I496" s="18"/>
      <c r="J496" s="18"/>
      <c r="K496" s="53">
        <f t="shared" si="35"/>
        <v>2807233.99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64151494.990000002</v>
      </c>
      <c r="G497" s="205"/>
      <c r="H497" s="205"/>
      <c r="I497" s="205"/>
      <c r="J497" s="205"/>
      <c r="K497" s="206">
        <f t="shared" si="35"/>
        <v>64151494.990000002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31008987</v>
      </c>
      <c r="G498" s="18"/>
      <c r="H498" s="18"/>
      <c r="I498" s="18"/>
      <c r="J498" s="18"/>
      <c r="K498" s="53">
        <f t="shared" si="35"/>
        <v>31008987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95160481.99000001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95160481.99000001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3847854.99</v>
      </c>
      <c r="G500" s="205"/>
      <c r="H500" s="205"/>
      <c r="I500" s="205"/>
      <c r="J500" s="205"/>
      <c r="K500" s="206">
        <f t="shared" si="35"/>
        <v>3847854.99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3354189.77-959261.63</f>
        <v>2394928.14</v>
      </c>
      <c r="G501" s="18"/>
      <c r="H501" s="18"/>
      <c r="I501" s="18"/>
      <c r="J501" s="18"/>
      <c r="K501" s="53">
        <f t="shared" si="35"/>
        <v>2394928.14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6242783.1300000008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6242783.1300000008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3811478.76</v>
      </c>
      <c r="G520" s="18">
        <v>1275256.8999999999</v>
      </c>
      <c r="H520" s="18">
        <v>353504.95</v>
      </c>
      <c r="I520" s="18">
        <v>53299.39</v>
      </c>
      <c r="J520" s="18">
        <v>19951.93</v>
      </c>
      <c r="K520" s="18"/>
      <c r="L520" s="88">
        <f>SUM(F520:K520)</f>
        <v>5513491.9299999997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1600076.65</v>
      </c>
      <c r="G521" s="18">
        <v>555650.79</v>
      </c>
      <c r="H521" s="18">
        <v>639943.15</v>
      </c>
      <c r="I521" s="18">
        <v>21170.34</v>
      </c>
      <c r="J521" s="18">
        <v>6972.79</v>
      </c>
      <c r="K521" s="18"/>
      <c r="L521" s="88">
        <f>SUM(F521:K521)</f>
        <v>2823813.7199999997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2430049.08</v>
      </c>
      <c r="G522" s="18">
        <v>919740.44</v>
      </c>
      <c r="H522" s="18">
        <v>967448.55</v>
      </c>
      <c r="I522" s="18">
        <v>50438.43</v>
      </c>
      <c r="J522" s="18">
        <v>42485.22</v>
      </c>
      <c r="K522" s="18"/>
      <c r="L522" s="88">
        <f>SUM(F522:K522)</f>
        <v>4410161.72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7841604.4900000002</v>
      </c>
      <c r="G523" s="108">
        <f t="shared" ref="G523:L523" si="36">SUM(G520:G522)</f>
        <v>2750648.13</v>
      </c>
      <c r="H523" s="108">
        <f t="shared" si="36"/>
        <v>1960896.6500000001</v>
      </c>
      <c r="I523" s="108">
        <f t="shared" si="36"/>
        <v>124908.16</v>
      </c>
      <c r="J523" s="108">
        <f t="shared" si="36"/>
        <v>69409.94</v>
      </c>
      <c r="K523" s="108">
        <f t="shared" si="36"/>
        <v>0</v>
      </c>
      <c r="L523" s="89">
        <f t="shared" si="36"/>
        <v>12747467.369999999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1150920.53</v>
      </c>
      <c r="G525" s="18">
        <v>384131.45</v>
      </c>
      <c r="H525" s="18">
        <v>325713.52</v>
      </c>
      <c r="I525" s="18">
        <v>18643.099999999999</v>
      </c>
      <c r="J525" s="18">
        <v>7130.39</v>
      </c>
      <c r="K525" s="18"/>
      <c r="L525" s="88">
        <f>SUM(F525:K525)</f>
        <v>1886538.99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176598.15</v>
      </c>
      <c r="G526" s="18">
        <v>67928.210000000006</v>
      </c>
      <c r="H526" s="18">
        <v>53468.44</v>
      </c>
      <c r="I526" s="18">
        <v>7105.78</v>
      </c>
      <c r="J526" s="18">
        <v>3260.32</v>
      </c>
      <c r="K526" s="18"/>
      <c r="L526" s="88">
        <f>SUM(F526:K526)</f>
        <v>308360.90000000002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304512.37</v>
      </c>
      <c r="G527" s="18">
        <v>111469.22</v>
      </c>
      <c r="H527" s="18">
        <v>114101.31</v>
      </c>
      <c r="I527" s="18">
        <v>12015.44</v>
      </c>
      <c r="J527" s="18">
        <v>6279.61</v>
      </c>
      <c r="K527" s="18"/>
      <c r="L527" s="88">
        <f>SUM(F527:K527)</f>
        <v>548377.94999999984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1632031.0499999998</v>
      </c>
      <c r="G528" s="89">
        <f t="shared" ref="G528:L528" si="37">SUM(G525:G527)</f>
        <v>563528.88</v>
      </c>
      <c r="H528" s="89">
        <f t="shared" si="37"/>
        <v>493283.27</v>
      </c>
      <c r="I528" s="89">
        <f t="shared" si="37"/>
        <v>37764.32</v>
      </c>
      <c r="J528" s="89">
        <f t="shared" si="37"/>
        <v>16670.32</v>
      </c>
      <c r="K528" s="89">
        <f t="shared" si="37"/>
        <v>0</v>
      </c>
      <c r="L528" s="89">
        <f t="shared" si="37"/>
        <v>2743277.84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58579.41</v>
      </c>
      <c r="G530" s="18">
        <v>24162.25</v>
      </c>
      <c r="H530" s="18"/>
      <c r="I530" s="18"/>
      <c r="J530" s="18"/>
      <c r="K530" s="18"/>
      <c r="L530" s="88">
        <f>SUM(F530:K530)</f>
        <v>82741.66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26128.45</v>
      </c>
      <c r="G531" s="18">
        <v>10777.2</v>
      </c>
      <c r="H531" s="18"/>
      <c r="I531" s="18"/>
      <c r="J531" s="18"/>
      <c r="K531" s="18"/>
      <c r="L531" s="88">
        <f>SUM(F531:K531)</f>
        <v>36905.65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52737.96</v>
      </c>
      <c r="G532" s="18">
        <v>21752.83</v>
      </c>
      <c r="H532" s="18"/>
      <c r="I532" s="18"/>
      <c r="J532" s="18"/>
      <c r="K532" s="18"/>
      <c r="L532" s="88">
        <f>SUM(F532:K532)</f>
        <v>74490.790000000008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137445.82</v>
      </c>
      <c r="G533" s="89">
        <f t="shared" ref="G533:L533" si="38">SUM(G530:G532)</f>
        <v>56692.28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194138.1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12947.96</v>
      </c>
      <c r="I535" s="18"/>
      <c r="J535" s="18"/>
      <c r="K535" s="18"/>
      <c r="L535" s="88">
        <f>SUM(F535:K535)</f>
        <v>12947.96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5775.24</v>
      </c>
      <c r="I536" s="18"/>
      <c r="J536" s="18"/>
      <c r="K536" s="18"/>
      <c r="L536" s="88">
        <f>SUM(F536:K536)</f>
        <v>5775.24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11656.8</v>
      </c>
      <c r="I537" s="18"/>
      <c r="J537" s="18"/>
      <c r="K537" s="18"/>
      <c r="L537" s="88">
        <f>SUM(F537:K537)</f>
        <v>11656.8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30379.999999999996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30379.999999999996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231919.44</v>
      </c>
      <c r="G540" s="18">
        <v>69368.69</v>
      </c>
      <c r="H540" s="18">
        <v>78906.83</v>
      </c>
      <c r="I540" s="18"/>
      <c r="J540" s="18"/>
      <c r="K540" s="18">
        <v>215.43</v>
      </c>
      <c r="L540" s="88">
        <f>SUM(F540:K540)</f>
        <v>380410.39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111872.09</v>
      </c>
      <c r="G541" s="18">
        <v>33461.699999999997</v>
      </c>
      <c r="H541" s="18">
        <v>38062.660000000003</v>
      </c>
      <c r="I541" s="18"/>
      <c r="J541" s="18"/>
      <c r="K541" s="18">
        <v>103.92</v>
      </c>
      <c r="L541" s="88">
        <f>SUM(F541:K541)</f>
        <v>183500.37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194055.05</v>
      </c>
      <c r="G542" s="18">
        <v>58043.19</v>
      </c>
      <c r="H542" s="18">
        <v>66024.08</v>
      </c>
      <c r="I542" s="18"/>
      <c r="J542" s="18"/>
      <c r="K542" s="18">
        <v>180.25</v>
      </c>
      <c r="L542" s="88">
        <f>SUM(F542:K542)</f>
        <v>318302.57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537846.58000000007</v>
      </c>
      <c r="G543" s="194">
        <f t="shared" ref="G543:L543" si="40">SUM(G540:G542)</f>
        <v>160873.58000000002</v>
      </c>
      <c r="H543" s="194">
        <f t="shared" si="40"/>
        <v>182993.57</v>
      </c>
      <c r="I543" s="194">
        <f t="shared" si="40"/>
        <v>0</v>
      </c>
      <c r="J543" s="194">
        <f t="shared" si="40"/>
        <v>0</v>
      </c>
      <c r="K543" s="194">
        <f t="shared" si="40"/>
        <v>499.6</v>
      </c>
      <c r="L543" s="194">
        <f t="shared" si="40"/>
        <v>882213.33000000007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10148927.939999999</v>
      </c>
      <c r="G544" s="89">
        <f t="shared" ref="G544:L544" si="41">G523+G528+G533+G538+G543</f>
        <v>3531742.8699999996</v>
      </c>
      <c r="H544" s="89">
        <f t="shared" si="41"/>
        <v>2667553.4899999998</v>
      </c>
      <c r="I544" s="89">
        <f t="shared" si="41"/>
        <v>162672.48000000001</v>
      </c>
      <c r="J544" s="89">
        <f t="shared" si="41"/>
        <v>86080.260000000009</v>
      </c>
      <c r="K544" s="89">
        <f t="shared" si="41"/>
        <v>499.6</v>
      </c>
      <c r="L544" s="89">
        <f t="shared" si="41"/>
        <v>16597476.639999999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5513491.9299999997</v>
      </c>
      <c r="G548" s="87">
        <f>L525</f>
        <v>1886538.99</v>
      </c>
      <c r="H548" s="87">
        <f>L530</f>
        <v>82741.66</v>
      </c>
      <c r="I548" s="87">
        <f>L535</f>
        <v>12947.96</v>
      </c>
      <c r="J548" s="87">
        <f>L540</f>
        <v>380410.39</v>
      </c>
      <c r="K548" s="87">
        <f>SUM(F548:J548)</f>
        <v>7876130.9299999997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2823813.7199999997</v>
      </c>
      <c r="G549" s="87">
        <f>L526</f>
        <v>308360.90000000002</v>
      </c>
      <c r="H549" s="87">
        <f>L531</f>
        <v>36905.65</v>
      </c>
      <c r="I549" s="87">
        <f>L536</f>
        <v>5775.24</v>
      </c>
      <c r="J549" s="87">
        <f>L541</f>
        <v>183500.37</v>
      </c>
      <c r="K549" s="87">
        <f>SUM(F549:J549)</f>
        <v>3358355.88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4410161.72</v>
      </c>
      <c r="G550" s="87">
        <f>L527</f>
        <v>548377.94999999984</v>
      </c>
      <c r="H550" s="87">
        <f>L532</f>
        <v>74490.790000000008</v>
      </c>
      <c r="I550" s="87">
        <f>L537</f>
        <v>11656.8</v>
      </c>
      <c r="J550" s="87">
        <f>L542</f>
        <v>318302.57</v>
      </c>
      <c r="K550" s="87">
        <f>SUM(F550:J550)</f>
        <v>5362989.83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12747467.369999999</v>
      </c>
      <c r="G551" s="89">
        <f t="shared" si="42"/>
        <v>2743277.84</v>
      </c>
      <c r="H551" s="89">
        <f t="shared" si="42"/>
        <v>194138.1</v>
      </c>
      <c r="I551" s="89">
        <f t="shared" si="42"/>
        <v>30379.999999999996</v>
      </c>
      <c r="J551" s="89">
        <f t="shared" si="42"/>
        <v>882213.33000000007</v>
      </c>
      <c r="K551" s="89">
        <f t="shared" si="42"/>
        <v>16597476.639999999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417177.15</v>
      </c>
      <c r="G556" s="18">
        <v>120189.62</v>
      </c>
      <c r="H556" s="18"/>
      <c r="I556" s="18">
        <v>1149.7</v>
      </c>
      <c r="J556" s="18">
        <v>6193.84</v>
      </c>
      <c r="K556" s="18"/>
      <c r="L556" s="88">
        <f>SUM(F556:K556)</f>
        <v>544710.30999999994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82401.31</v>
      </c>
      <c r="G557" s="18">
        <v>14392.89</v>
      </c>
      <c r="H557" s="18"/>
      <c r="I557" s="18"/>
      <c r="J557" s="18"/>
      <c r="K557" s="18"/>
      <c r="L557" s="88">
        <f>SUM(F557:K557)</f>
        <v>96794.2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19207.509999999998</v>
      </c>
      <c r="G558" s="18">
        <v>1682.01</v>
      </c>
      <c r="H558" s="18"/>
      <c r="I558" s="18"/>
      <c r="J558" s="18"/>
      <c r="K558" s="18"/>
      <c r="L558" s="88">
        <f>SUM(F558:K558)</f>
        <v>20889.519999999997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518785.97000000003</v>
      </c>
      <c r="G559" s="108">
        <f t="shared" si="43"/>
        <v>136264.52000000002</v>
      </c>
      <c r="H559" s="108">
        <f t="shared" si="43"/>
        <v>0</v>
      </c>
      <c r="I559" s="108">
        <f t="shared" si="43"/>
        <v>1149.7</v>
      </c>
      <c r="J559" s="108">
        <f t="shared" si="43"/>
        <v>6193.84</v>
      </c>
      <c r="K559" s="108">
        <f t="shared" si="43"/>
        <v>0</v>
      </c>
      <c r="L559" s="89">
        <f t="shared" si="43"/>
        <v>662394.02999999991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78540.039999999994</v>
      </c>
      <c r="I561" s="18">
        <v>19377.11</v>
      </c>
      <c r="J561" s="18"/>
      <c r="K561" s="18"/>
      <c r="L561" s="88">
        <f>SUM(F561:K561)</f>
        <v>97917.15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v>37885.730000000003</v>
      </c>
      <c r="I562" s="18">
        <v>9347.0300000000007</v>
      </c>
      <c r="J562" s="18"/>
      <c r="K562" s="18"/>
      <c r="L562" s="88">
        <f>SUM(F562:K562)</f>
        <v>47232.76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>
        <v>65717.179999999993</v>
      </c>
      <c r="I563" s="18">
        <v>16213.5</v>
      </c>
      <c r="J563" s="18"/>
      <c r="K563" s="18"/>
      <c r="L563" s="88">
        <f>SUM(F563:K563)</f>
        <v>81930.679999999993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182142.94999999998</v>
      </c>
      <c r="I564" s="89">
        <f t="shared" si="44"/>
        <v>44937.64</v>
      </c>
      <c r="J564" s="89">
        <f t="shared" si="44"/>
        <v>0</v>
      </c>
      <c r="K564" s="89">
        <f t="shared" si="44"/>
        <v>0</v>
      </c>
      <c r="L564" s="89">
        <f t="shared" si="44"/>
        <v>227080.59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518785.97000000003</v>
      </c>
      <c r="G570" s="89">
        <f t="shared" ref="G570:L570" si="46">G559+G564+G569</f>
        <v>136264.52000000002</v>
      </c>
      <c r="H570" s="89">
        <f t="shared" si="46"/>
        <v>182142.94999999998</v>
      </c>
      <c r="I570" s="89">
        <f t="shared" si="46"/>
        <v>46087.34</v>
      </c>
      <c r="J570" s="89">
        <f t="shared" si="46"/>
        <v>6193.84</v>
      </c>
      <c r="K570" s="89">
        <f t="shared" si="46"/>
        <v>0</v>
      </c>
      <c r="L570" s="89">
        <f t="shared" si="46"/>
        <v>889474.61999999988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6137.9</v>
      </c>
      <c r="G578" s="18">
        <v>51249.16</v>
      </c>
      <c r="H578" s="18">
        <v>73833.3</v>
      </c>
      <c r="I578" s="87">
        <f t="shared" si="47"/>
        <v>131220.36000000002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142717.57999999999</v>
      </c>
      <c r="G581" s="18">
        <v>533327.99</v>
      </c>
      <c r="H581" s="18">
        <v>773440.31</v>
      </c>
      <c r="I581" s="87">
        <f t="shared" si="47"/>
        <v>1449485.88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556819.81000000006</v>
      </c>
      <c r="I590" s="18">
        <v>268538.51</v>
      </c>
      <c r="J590" s="18">
        <v>465811.02</v>
      </c>
      <c r="K590" s="104">
        <f t="shared" ref="K590:K596" si="48">SUM(H590:J590)</f>
        <v>1291169.3400000001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380410.39</v>
      </c>
      <c r="I591" s="18">
        <v>183500.37</v>
      </c>
      <c r="J591" s="18">
        <v>318302.57</v>
      </c>
      <c r="K591" s="104">
        <f t="shared" si="48"/>
        <v>882213.33000000007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1890.68</v>
      </c>
      <c r="I592" s="18">
        <v>912.02</v>
      </c>
      <c r="J592" s="18">
        <v>15397.79</v>
      </c>
      <c r="K592" s="104">
        <f t="shared" si="48"/>
        <v>18200.490000000002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4270.34</v>
      </c>
      <c r="I593" s="18">
        <v>22536.6</v>
      </c>
      <c r="J593" s="18">
        <v>103529.74</v>
      </c>
      <c r="K593" s="104">
        <f t="shared" si="48"/>
        <v>130336.68000000001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3742.47</v>
      </c>
      <c r="I594" s="18">
        <v>5929.2</v>
      </c>
      <c r="J594" s="18">
        <v>20133.71</v>
      </c>
      <c r="K594" s="104">
        <f t="shared" si="48"/>
        <v>29805.379999999997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15968.62</v>
      </c>
      <c r="I595" s="18">
        <v>676.16</v>
      </c>
      <c r="J595" s="18">
        <v>1172.8699999999999</v>
      </c>
      <c r="K595" s="104">
        <f t="shared" si="48"/>
        <v>17817.650000000001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32350.87</v>
      </c>
      <c r="I596" s="18">
        <v>3889.59</v>
      </c>
      <c r="J596" s="18">
        <v>6746.95</v>
      </c>
      <c r="K596" s="104">
        <f t="shared" si="48"/>
        <v>42987.409999999996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995453.18</v>
      </c>
      <c r="I597" s="108">
        <f>SUM(I590:I596)</f>
        <v>485982.45</v>
      </c>
      <c r="J597" s="108">
        <f>SUM(J590:J596)</f>
        <v>931094.65</v>
      </c>
      <c r="K597" s="108">
        <f>SUM(K590:K596)</f>
        <v>2412530.2800000003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68941.43+36730.95</f>
        <v>105672.37999999999</v>
      </c>
      <c r="I603" s="18">
        <f>33546.11+17093+0.02</f>
        <v>50639.13</v>
      </c>
      <c r="J603" s="18">
        <f>233663.43+13203.75</f>
        <v>246867.18</v>
      </c>
      <c r="K603" s="104">
        <f>SUM(H603:J603)</f>
        <v>403178.68999999994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105672.37999999999</v>
      </c>
      <c r="I604" s="108">
        <f>SUM(I601:I603)</f>
        <v>50639.13</v>
      </c>
      <c r="J604" s="108">
        <f>SUM(J601:J603)</f>
        <v>246867.18</v>
      </c>
      <c r="K604" s="108">
        <f>SUM(K601:K603)</f>
        <v>403178.68999999994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52394.61</v>
      </c>
      <c r="G610" s="18">
        <v>6798.81</v>
      </c>
      <c r="H610" s="18">
        <v>57469.85</v>
      </c>
      <c r="I610" s="18">
        <v>19263.37</v>
      </c>
      <c r="J610" s="18">
        <v>3738.67</v>
      </c>
      <c r="K610" s="18"/>
      <c r="L610" s="88">
        <f>SUM(F610:K610)</f>
        <v>139665.31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25551.42</v>
      </c>
      <c r="G611" s="18">
        <v>3470.51</v>
      </c>
      <c r="H611" s="18">
        <v>26515.87</v>
      </c>
      <c r="I611" s="18">
        <v>8683.7099999999991</v>
      </c>
      <c r="J611" s="18">
        <v>1667.58</v>
      </c>
      <c r="K611" s="18"/>
      <c r="L611" s="88">
        <f>SUM(F611:K611)</f>
        <v>65889.09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44320.92</v>
      </c>
      <c r="G612" s="18">
        <v>5730.76</v>
      </c>
      <c r="H612" s="18">
        <v>45911.83</v>
      </c>
      <c r="I612" s="18">
        <v>17336.990000000002</v>
      </c>
      <c r="J612" s="18">
        <v>3365.85</v>
      </c>
      <c r="K612" s="18"/>
      <c r="L612" s="88">
        <f>SUM(F612:K612)</f>
        <v>116666.35000000002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122266.95</v>
      </c>
      <c r="G613" s="108">
        <f t="shared" si="49"/>
        <v>16000.08</v>
      </c>
      <c r="H613" s="108">
        <f t="shared" si="49"/>
        <v>129897.55</v>
      </c>
      <c r="I613" s="108">
        <f t="shared" si="49"/>
        <v>45284.07</v>
      </c>
      <c r="J613" s="108">
        <f t="shared" si="49"/>
        <v>8772.1</v>
      </c>
      <c r="K613" s="108">
        <f t="shared" si="49"/>
        <v>0</v>
      </c>
      <c r="L613" s="89">
        <f t="shared" si="49"/>
        <v>322220.75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78869911.000000015</v>
      </c>
      <c r="H616" s="109">
        <f>SUM(F51)</f>
        <v>78869911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3769996.14</v>
      </c>
      <c r="H617" s="109">
        <f>SUM(G51)</f>
        <v>3769996.14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14300078.08</v>
      </c>
      <c r="H618" s="109">
        <f>SUM(H51)</f>
        <v>14300078.080000002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67829866.289999992</v>
      </c>
      <c r="H619" s="109">
        <f>SUM(I51)</f>
        <v>67829866.289999992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4492854.12</v>
      </c>
      <c r="H620" s="109">
        <f>SUM(J51)</f>
        <v>4492854.12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3100814.09</v>
      </c>
      <c r="H621" s="109">
        <f>F475</f>
        <v>3100814.0900000036</v>
      </c>
      <c r="I621" s="121" t="s">
        <v>101</v>
      </c>
      <c r="J621" s="109">
        <f t="shared" ref="J621:J654" si="50">G621-H621</f>
        <v>-3.7252902984619141E-9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41822.229999999996</v>
      </c>
      <c r="H622" s="109">
        <f>G475</f>
        <v>41822.229999999749</v>
      </c>
      <c r="I622" s="121" t="s">
        <v>102</v>
      </c>
      <c r="J622" s="109">
        <f t="shared" si="50"/>
        <v>2.4738255888223648E-10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132035.86000000074</v>
      </c>
      <c r="H623" s="109">
        <f>H475</f>
        <v>132035.8599999994</v>
      </c>
      <c r="I623" s="121" t="s">
        <v>103</v>
      </c>
      <c r="J623" s="109">
        <f t="shared" si="50"/>
        <v>1.3387762010097504E-9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9431801.0999999996</v>
      </c>
      <c r="H624" s="109">
        <f>I475</f>
        <v>9431801.1000000089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4759742.12</v>
      </c>
      <c r="H625" s="109">
        <f>J475</f>
        <v>4759742.12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67882469.730000004</v>
      </c>
      <c r="H626" s="104">
        <f>SUM(F467)</f>
        <v>67882469.730000004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1675757.19</v>
      </c>
      <c r="H627" s="104">
        <f>SUM(G467)</f>
        <v>1675757.19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4441211.2699999996</v>
      </c>
      <c r="H628" s="104">
        <f>SUM(H467)</f>
        <v>4441211.2699999996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16948.060000000001</v>
      </c>
      <c r="H629" s="104">
        <f>SUM(I467)</f>
        <v>16948.060000000001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159453.15</v>
      </c>
      <c r="H630" s="104">
        <f>SUM(J467)</f>
        <v>159453.15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67758112.030000001</v>
      </c>
      <c r="H631" s="104">
        <f>SUM(F471)</f>
        <v>67758112.030000001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4417699.9000000013</v>
      </c>
      <c r="H632" s="104">
        <f>SUM(H471)</f>
        <v>4417699.9000000004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904391.73</v>
      </c>
      <c r="H633" s="104">
        <f>I368</f>
        <v>904391.73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1782044.3599999999</v>
      </c>
      <c r="H634" s="104">
        <f>SUM(G471)</f>
        <v>1782044.36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36643099.730000004</v>
      </c>
      <c r="H635" s="104">
        <f>SUM(I471)</f>
        <v>36643099.729999997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159453.15</v>
      </c>
      <c r="H636" s="164">
        <f>SUM(J467)</f>
        <v>159453.15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3097204.54</v>
      </c>
      <c r="H637" s="164">
        <f>SUM(J471)</f>
        <v>3097204.54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4492854.12</v>
      </c>
      <c r="H639" s="104">
        <f>SUM(G460)</f>
        <v>4492854.12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4492854.12</v>
      </c>
      <c r="H641" s="104">
        <f>SUM(I460)</f>
        <v>4492854.12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3118.45</v>
      </c>
      <c r="H643" s="104">
        <f>H407</f>
        <v>3118.45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153107.76999999999</v>
      </c>
      <c r="H644" s="104">
        <f>G407</f>
        <v>153107.76999999999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159453.15</v>
      </c>
      <c r="H645" s="104">
        <f>L407</f>
        <v>159453.15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2412530.2800000003</v>
      </c>
      <c r="H646" s="104">
        <f>L207+L225+L243</f>
        <v>2412530.2800000003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403178.68999999994</v>
      </c>
      <c r="H647" s="104">
        <f>(J256+J337)-(J254+J335)</f>
        <v>403178.68999999994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995453.17999999993</v>
      </c>
      <c r="H648" s="104">
        <f>H597</f>
        <v>995453.18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485982.45</v>
      </c>
      <c r="H649" s="104">
        <f>I597</f>
        <v>485982.45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931094.65000000014</v>
      </c>
      <c r="H650" s="104">
        <f>J597</f>
        <v>931094.65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153107.76999999999</v>
      </c>
      <c r="H654" s="104">
        <f>K265+K346</f>
        <v>153107.76999999999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27933209.990000002</v>
      </c>
      <c r="G659" s="19">
        <f>(L228+L308+L358)</f>
        <v>14501999.15</v>
      </c>
      <c r="H659" s="19">
        <f>(L246+L327+L359)</f>
        <v>23890558.98</v>
      </c>
      <c r="I659" s="19">
        <f>SUM(F659:H659)</f>
        <v>66325768.120000005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295206.17311033455</v>
      </c>
      <c r="G660" s="19">
        <f>(L358/IF(SUM(L357:L359)=0,1,SUM(L357:L359))*(SUM(G96:G109)))</f>
        <v>177666.40401796211</v>
      </c>
      <c r="H660" s="19">
        <f>(L359/IF(SUM(L357:L359)=0,1,SUM(L357:L359))*(SUM(G96:G109)))</f>
        <v>257256.83287170329</v>
      </c>
      <c r="I660" s="19">
        <f>SUM(F660:H660)</f>
        <v>730129.40999999992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1004155.2599999999</v>
      </c>
      <c r="G661" s="19">
        <f>(L225+L305)-(J225+J305)</f>
        <v>490628.67</v>
      </c>
      <c r="H661" s="19">
        <f>(L243+L324)-(J243+J324)</f>
        <v>954269.37000000011</v>
      </c>
      <c r="I661" s="19">
        <f>SUM(F661:H661)</f>
        <v>2449053.2999999998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394193.17</v>
      </c>
      <c r="G662" s="200">
        <f>SUM(G574:G586)+SUM(I601:I603)+L611</f>
        <v>701105.37</v>
      </c>
      <c r="H662" s="200">
        <f>SUM(H574:H586)+SUM(J601:J603)+L612</f>
        <v>1210807.1400000001</v>
      </c>
      <c r="I662" s="19">
        <f>SUM(F662:H662)</f>
        <v>2306105.6800000002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26239655.386889666</v>
      </c>
      <c r="G663" s="19">
        <f>G659-SUM(G660:G662)</f>
        <v>13132598.705982039</v>
      </c>
      <c r="H663" s="19">
        <f>H659-SUM(H660:H662)</f>
        <v>21468225.637128297</v>
      </c>
      <c r="I663" s="19">
        <f>I659-SUM(I660:I662)</f>
        <v>60840479.730000004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f>37.23+140.8+1695.2</f>
        <v>1873.23</v>
      </c>
      <c r="G664" s="249">
        <v>1009.77</v>
      </c>
      <c r="H664" s="249">
        <v>1763.16</v>
      </c>
      <c r="I664" s="19">
        <f>SUM(F664:H664)</f>
        <v>4646.16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14007.71</v>
      </c>
      <c r="G666" s="19">
        <f>ROUND(G663/G664,2)</f>
        <v>13005.53</v>
      </c>
      <c r="H666" s="19">
        <f>ROUND(H663/H664,2)</f>
        <v>12175.99</v>
      </c>
      <c r="I666" s="19">
        <f>ROUND(I663/I664,2)</f>
        <v>13094.79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116.34</v>
      </c>
      <c r="I669" s="19">
        <f>SUM(F669:H669)</f>
        <v>116.34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14007.71</v>
      </c>
      <c r="G671" s="19">
        <f>ROUND((G663+G668)/(G664+G669),2)</f>
        <v>13005.53</v>
      </c>
      <c r="H671" s="19">
        <f>ROUND((H663+H668)/(H664+H669),2)</f>
        <v>11422.31</v>
      </c>
      <c r="I671" s="19">
        <f>ROUND((I663+I668)/(I664+I669),2)</f>
        <v>12774.9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fitToHeight="33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11" man="1"/>
    <brk id="168" max="11" man="1"/>
    <brk id="192" max="11" man="1"/>
    <brk id="210" max="11" man="1"/>
    <brk id="228" max="11" man="1"/>
    <brk id="246" max="11" man="1"/>
    <brk id="270" max="11" man="1"/>
    <brk id="289" max="16383" man="1"/>
    <brk id="308" max="16383" man="1"/>
    <brk id="327" max="16383" man="1"/>
    <brk id="351" max="11" man="1"/>
    <brk id="381" max="11" man="1"/>
    <brk id="407" max="11" man="1"/>
    <brk id="431" max="16383" man="1"/>
    <brk id="460" max="11" man="1"/>
    <brk id="484" max="11" man="1"/>
    <brk id="516" max="11" man="1"/>
    <brk id="551" max="11" man="1"/>
    <brk id="587" max="11" man="1"/>
    <brk id="614" max="11" man="1"/>
    <brk id="655" max="11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Concord SD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19048728.489999998</v>
      </c>
      <c r="C9" s="230">
        <f>'DOE25'!G196+'DOE25'!G214+'DOE25'!G232+'DOE25'!G275+'DOE25'!G294+'DOE25'!G313</f>
        <v>7903835.4299999997</v>
      </c>
    </row>
    <row r="10" spans="1:3" x14ac:dyDescent="0.2">
      <c r="A10" t="s">
        <v>779</v>
      </c>
      <c r="B10" s="241">
        <v>17500239.66</v>
      </c>
      <c r="C10" s="241">
        <f>+B10/$B$9*C$9</f>
        <v>7261325.3073984655</v>
      </c>
    </row>
    <row r="11" spans="1:3" x14ac:dyDescent="0.2">
      <c r="A11" t="s">
        <v>780</v>
      </c>
      <c r="B11" s="241">
        <v>53179.61</v>
      </c>
      <c r="C11" s="241">
        <f>+B11/$B$9*C$9</f>
        <v>22065.666267028741</v>
      </c>
    </row>
    <row r="12" spans="1:3" x14ac:dyDescent="0.2">
      <c r="A12" t="s">
        <v>781</v>
      </c>
      <c r="B12" s="241">
        <f>+B9-B10-B11</f>
        <v>1495309.2199999981</v>
      </c>
      <c r="C12" s="241">
        <f>+B12/$B$9*C$9</f>
        <v>620444.45633450523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19048728.489999998</v>
      </c>
      <c r="C13" s="232">
        <f>SUM(C10:C12)</f>
        <v>7903835.4299999997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7841604.4900000012</v>
      </c>
      <c r="C18" s="230">
        <f>'DOE25'!G197+'DOE25'!G215+'DOE25'!G233+'DOE25'!G276+'DOE25'!G295+'DOE25'!G314</f>
        <v>2987050.23</v>
      </c>
    </row>
    <row r="19" spans="1:3" x14ac:dyDescent="0.2">
      <c r="A19" t="s">
        <v>779</v>
      </c>
      <c r="B19" s="241">
        <v>4094925.28</v>
      </c>
      <c r="C19" s="241">
        <f>+B19/$B$18*C$18</f>
        <v>1559852.6443223883</v>
      </c>
    </row>
    <row r="20" spans="1:3" x14ac:dyDescent="0.2">
      <c r="A20" t="s">
        <v>780</v>
      </c>
      <c r="B20" s="241">
        <v>3156454.68</v>
      </c>
      <c r="C20" s="241">
        <f>+B20/$B$18*C$18</f>
        <v>1202367.2820915985</v>
      </c>
    </row>
    <row r="21" spans="1:3" x14ac:dyDescent="0.2">
      <c r="A21" t="s">
        <v>781</v>
      </c>
      <c r="B21" s="241">
        <f>+B18-B19-B20</f>
        <v>590224.53000000119</v>
      </c>
      <c r="C21" s="241">
        <f>+B21/$B$18*C$18</f>
        <v>224830.30358601329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7841604.4900000012</v>
      </c>
      <c r="C22" s="232">
        <f>SUM(C19:C21)</f>
        <v>2987050.23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698916.70000000007</v>
      </c>
      <c r="C27" s="235">
        <f>'DOE25'!G198+'DOE25'!G216+'DOE25'!G234+'DOE25'!G277+'DOE25'!G296+'DOE25'!G315</f>
        <v>301803.89</v>
      </c>
    </row>
    <row r="28" spans="1:3" x14ac:dyDescent="0.2">
      <c r="A28" t="s">
        <v>779</v>
      </c>
      <c r="B28" s="241">
        <v>565194.63</v>
      </c>
      <c r="C28" s="241">
        <f>+B28/$B$27*C$27</f>
        <v>244060.46949673787</v>
      </c>
    </row>
    <row r="29" spans="1:3" x14ac:dyDescent="0.2">
      <c r="A29" t="s">
        <v>780</v>
      </c>
      <c r="B29" s="241">
        <v>78527.070000000007</v>
      </c>
      <c r="C29" s="241">
        <f>+B29/$B$27*C$27</f>
        <v>33909.298770944093</v>
      </c>
    </row>
    <row r="30" spans="1:3" x14ac:dyDescent="0.2">
      <c r="A30" t="s">
        <v>781</v>
      </c>
      <c r="B30" s="241">
        <f>+B27-B28-B29</f>
        <v>55195.000000000058</v>
      </c>
      <c r="C30" s="241">
        <f>+B30/$B$27*C$27</f>
        <v>23834.121732318054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698916.7</v>
      </c>
      <c r="C31" s="232">
        <f>SUM(C28:C30)</f>
        <v>301803.89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781169.77000000014</v>
      </c>
      <c r="C36" s="236">
        <f>'DOE25'!G199+'DOE25'!G217+'DOE25'!G235+'DOE25'!G278+'DOE25'!G297+'DOE25'!G316</f>
        <v>165880.76999999996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781169.77</v>
      </c>
      <c r="C39" s="241">
        <v>165880.76999999999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781169.77</v>
      </c>
      <c r="C40" s="232">
        <f>SUM(C37:C39)</f>
        <v>165880.76999999999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6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Concord SD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40278086.93</v>
      </c>
      <c r="D5" s="20">
        <f>SUM('DOE25'!L196:L199)+SUM('DOE25'!L214:L217)+SUM('DOE25'!L232:L235)-F5-G5</f>
        <v>40202699.75</v>
      </c>
      <c r="E5" s="244"/>
      <c r="F5" s="256">
        <f>SUM('DOE25'!J196:J199)+SUM('DOE25'!J214:J217)+SUM('DOE25'!J232:J235)</f>
        <v>55111.18</v>
      </c>
      <c r="G5" s="53">
        <f>SUM('DOE25'!K196:K199)+SUM('DOE25'!K214:K217)+SUM('DOE25'!K232:K235)</f>
        <v>20276</v>
      </c>
      <c r="H5" s="260"/>
    </row>
    <row r="6" spans="1:9" x14ac:dyDescent="0.2">
      <c r="A6" s="32">
        <v>2100</v>
      </c>
      <c r="B6" t="s">
        <v>801</v>
      </c>
      <c r="C6" s="246">
        <f t="shared" si="0"/>
        <v>4914606.8</v>
      </c>
      <c r="D6" s="20">
        <f>'DOE25'!L201+'DOE25'!L219+'DOE25'!L237-F6-G6</f>
        <v>4901969.25</v>
      </c>
      <c r="E6" s="244"/>
      <c r="F6" s="256">
        <f>'DOE25'!J201+'DOE25'!J219+'DOE25'!J237</f>
        <v>12363.869999999999</v>
      </c>
      <c r="G6" s="53">
        <f>'DOE25'!K201+'DOE25'!K219+'DOE25'!K237</f>
        <v>273.68</v>
      </c>
      <c r="H6" s="260"/>
    </row>
    <row r="7" spans="1:9" x14ac:dyDescent="0.2">
      <c r="A7" s="32">
        <v>2200</v>
      </c>
      <c r="B7" t="s">
        <v>834</v>
      </c>
      <c r="C7" s="246">
        <f t="shared" si="0"/>
        <v>1966492.9899999998</v>
      </c>
      <c r="D7" s="20">
        <f>'DOE25'!L202+'DOE25'!L220+'DOE25'!L238-F7-G7</f>
        <v>1912019.8399999999</v>
      </c>
      <c r="E7" s="244"/>
      <c r="F7" s="256">
        <f>'DOE25'!J202+'DOE25'!J220+'DOE25'!J238</f>
        <v>53916.159999999996</v>
      </c>
      <c r="G7" s="53">
        <f>'DOE25'!K202+'DOE25'!K220+'DOE25'!K238</f>
        <v>556.99</v>
      </c>
      <c r="H7" s="260"/>
    </row>
    <row r="8" spans="1:9" x14ac:dyDescent="0.2">
      <c r="A8" s="32">
        <v>2300</v>
      </c>
      <c r="B8" t="s">
        <v>802</v>
      </c>
      <c r="C8" s="246">
        <f t="shared" si="0"/>
        <v>612564.13000000024</v>
      </c>
      <c r="D8" s="244"/>
      <c r="E8" s="20">
        <f>'DOE25'!L203+'DOE25'!L221+'DOE25'!L239-F8-G8-D9-D11</f>
        <v>603335.31000000029</v>
      </c>
      <c r="F8" s="256">
        <f>'DOE25'!J203+'DOE25'!J221+'DOE25'!J239</f>
        <v>179</v>
      </c>
      <c r="G8" s="53">
        <f>'DOE25'!K203+'DOE25'!K221+'DOE25'!K239</f>
        <v>9049.82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12586.970000000001</v>
      </c>
      <c r="D9" s="245">
        <f>2202.6+10384.37</f>
        <v>12586.970000000001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46300</v>
      </c>
      <c r="D10" s="244"/>
      <c r="E10" s="245">
        <v>46300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303559.57</v>
      </c>
      <c r="D11" s="245">
        <f>72521.5+231038.07</f>
        <v>303559.57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3620429.58</v>
      </c>
      <c r="D12" s="20">
        <f>'DOE25'!L204+'DOE25'!L222+'DOE25'!L240-F12-G12</f>
        <v>3599553.49</v>
      </c>
      <c r="E12" s="244"/>
      <c r="F12" s="256">
        <f>'DOE25'!J204+'DOE25'!J222+'DOE25'!J240</f>
        <v>2690.15</v>
      </c>
      <c r="G12" s="53">
        <f>'DOE25'!K204+'DOE25'!K222+'DOE25'!K240</f>
        <v>18185.940000000002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604877.47</v>
      </c>
      <c r="D13" s="244"/>
      <c r="E13" s="20">
        <f>'DOE25'!L205+'DOE25'!L223+'DOE25'!L241-F13-G13</f>
        <v>601812.73</v>
      </c>
      <c r="F13" s="256">
        <f>'DOE25'!J205+'DOE25'!J223+'DOE25'!J241</f>
        <v>713.09</v>
      </c>
      <c r="G13" s="53">
        <f>'DOE25'!K205+'DOE25'!K223+'DOE25'!K241</f>
        <v>2351.65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5268158.62</v>
      </c>
      <c r="D14" s="20">
        <f>'DOE25'!L206+'DOE25'!L224+'DOE25'!L242-F14-G14</f>
        <v>5219277.41</v>
      </c>
      <c r="E14" s="244"/>
      <c r="F14" s="256">
        <f>'DOE25'!J206+'DOE25'!J224+'DOE25'!J242</f>
        <v>48731.21</v>
      </c>
      <c r="G14" s="53">
        <f>'DOE25'!K206+'DOE25'!K224+'DOE25'!K242</f>
        <v>150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2412530.2800000003</v>
      </c>
      <c r="D15" s="20">
        <f>'DOE25'!L207+'DOE25'!L225+'DOE25'!L243-F15-G15</f>
        <v>2410729.2800000003</v>
      </c>
      <c r="E15" s="244"/>
      <c r="F15" s="256">
        <f>'DOE25'!J207+'DOE25'!J225+'DOE25'!J243</f>
        <v>0</v>
      </c>
      <c r="G15" s="53">
        <f>'DOE25'!K207+'DOE25'!K225+'DOE25'!K243</f>
        <v>1801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460238.44000000006</v>
      </c>
      <c r="D16" s="244"/>
      <c r="E16" s="20">
        <f>'DOE25'!L208+'DOE25'!L226+'DOE25'!L244-F16-G16</f>
        <v>460238.44000000006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639915.21000000008</v>
      </c>
      <c r="D17" s="20">
        <f>'DOE25'!L250-F17-G17</f>
        <v>628804.06000000006</v>
      </c>
      <c r="E17" s="244"/>
      <c r="F17" s="256">
        <f>'DOE25'!J250</f>
        <v>0</v>
      </c>
      <c r="G17" s="53">
        <f>'DOE25'!K250</f>
        <v>11111.15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228320.45</v>
      </c>
      <c r="D22" s="244"/>
      <c r="E22" s="244"/>
      <c r="F22" s="256">
        <f>'DOE25'!L254+'DOE25'!L335</f>
        <v>228320.45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6282636.8200000003</v>
      </c>
      <c r="D25" s="244"/>
      <c r="E25" s="244"/>
      <c r="F25" s="259"/>
      <c r="G25" s="257"/>
      <c r="H25" s="258">
        <f>'DOE25'!L259+'DOE25'!L260+'DOE25'!L340+'DOE25'!L341</f>
        <v>6282636.8200000003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901782.68</v>
      </c>
      <c r="D29" s="20">
        <f>'DOE25'!L357+'DOE25'!L358+'DOE25'!L359-'DOE25'!I366-F29-G29</f>
        <v>898215.42</v>
      </c>
      <c r="E29" s="244"/>
      <c r="F29" s="256">
        <f>'DOE25'!J357+'DOE25'!J358+'DOE25'!J359</f>
        <v>1877.99</v>
      </c>
      <c r="G29" s="53">
        <f>'DOE25'!K357+'DOE25'!K358+'DOE25'!K359</f>
        <v>1689.27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4310671.6700000009</v>
      </c>
      <c r="D31" s="20">
        <f>'DOE25'!L289+'DOE25'!L308+'DOE25'!L327+'DOE25'!L332+'DOE25'!L333+'DOE25'!L334-F31-G31</f>
        <v>4070514.6400000011</v>
      </c>
      <c r="E31" s="244"/>
      <c r="F31" s="256">
        <f>'DOE25'!J289+'DOE25'!J308+'DOE25'!J327+'DOE25'!J332+'DOE25'!J333+'DOE25'!J334</f>
        <v>229474.02999999997</v>
      </c>
      <c r="G31" s="53">
        <f>'DOE25'!K289+'DOE25'!K308+'DOE25'!K327+'DOE25'!K332+'DOE25'!K333+'DOE25'!K334</f>
        <v>10683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64159929.680000007</v>
      </c>
      <c r="E33" s="247">
        <f>SUM(E5:E31)</f>
        <v>1711686.4800000004</v>
      </c>
      <c r="F33" s="247">
        <f>SUM(F5:F31)</f>
        <v>633377.12999999989</v>
      </c>
      <c r="G33" s="247">
        <f>SUM(G5:G31)</f>
        <v>76128.5</v>
      </c>
      <c r="H33" s="247">
        <f>SUM(H5:H31)</f>
        <v>6282636.8200000003</v>
      </c>
    </row>
    <row r="35" spans="2:8" ht="12" thickBot="1" x14ac:dyDescent="0.25">
      <c r="B35" s="254" t="s">
        <v>847</v>
      </c>
      <c r="D35" s="255">
        <f>E33</f>
        <v>1711686.4800000004</v>
      </c>
      <c r="E35" s="250"/>
    </row>
    <row r="36" spans="2:8" ht="12" thickTop="1" x14ac:dyDescent="0.2">
      <c r="B36" t="s">
        <v>815</v>
      </c>
      <c r="D36" s="20">
        <f>D33</f>
        <v>64159929.680000007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3" activePane="bottomLeft" state="frozen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2054224.95</v>
      </c>
      <c r="D8" s="95">
        <f>'DOE25'!G9</f>
        <v>75567.16</v>
      </c>
      <c r="E8" s="95">
        <f>'DOE25'!H9</f>
        <v>-207947.99</v>
      </c>
      <c r="F8" s="95">
        <f>'DOE25'!I9</f>
        <v>191166.04</v>
      </c>
      <c r="G8" s="95">
        <f>'DOE25'!J9</f>
        <v>4772562.62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9396051.6799999997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76265931.310000002</v>
      </c>
      <c r="D11" s="95">
        <f>'DOE25'!G12</f>
        <v>3516060.38</v>
      </c>
      <c r="E11" s="95">
        <f>'DOE25'!H12</f>
        <v>13660845.9</v>
      </c>
      <c r="F11" s="95">
        <f>'DOE25'!I12</f>
        <v>58242648.57</v>
      </c>
      <c r="G11" s="95">
        <f>'DOE25'!J12</f>
        <v>-279708.5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395039.37</v>
      </c>
      <c r="D13" s="95">
        <f>'DOE25'!G14</f>
        <v>150825.5</v>
      </c>
      <c r="E13" s="95">
        <f>'DOE25'!H14</f>
        <v>847180.17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59515.37</v>
      </c>
      <c r="D15" s="95">
        <f>'DOE25'!G16</f>
        <v>27543.1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95200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78869911.000000015</v>
      </c>
      <c r="D18" s="41">
        <f>SUM(D8:D17)</f>
        <v>3769996.14</v>
      </c>
      <c r="E18" s="41">
        <f>SUM(E8:E17)</f>
        <v>14300078.08</v>
      </c>
      <c r="F18" s="41">
        <f>SUM(F8:F17)</f>
        <v>67829866.289999992</v>
      </c>
      <c r="G18" s="41">
        <f>SUM(G8:G17)</f>
        <v>4492854.12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75426550.829999998</v>
      </c>
      <c r="D21" s="95">
        <f>'DOE25'!G22</f>
        <v>3684715.53</v>
      </c>
      <c r="E21" s="95">
        <f>'DOE25'!H22</f>
        <v>14163242.66</v>
      </c>
      <c r="F21" s="95">
        <f>'DOE25'!I22</f>
        <v>58398065.189999998</v>
      </c>
      <c r="G21" s="95">
        <f>'DOE25'!J22</f>
        <v>-266888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1756.56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90918.46</v>
      </c>
      <c r="D27" s="95">
        <f>'DOE25'!G28</f>
        <v>21518.7</v>
      </c>
      <c r="E27" s="95">
        <f>'DOE25'!H28</f>
        <v>4799.5600000000004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205155.09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44715.97</v>
      </c>
      <c r="D29" s="95">
        <f>'DOE25'!G30</f>
        <v>21939.68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75769096.909999996</v>
      </c>
      <c r="D31" s="41">
        <f>SUM(D21:D30)</f>
        <v>3728173.91</v>
      </c>
      <c r="E31" s="41">
        <f>SUM(E21:E30)</f>
        <v>14168042.220000001</v>
      </c>
      <c r="F31" s="41">
        <f>SUM(F21:F30)</f>
        <v>58398065.189999998</v>
      </c>
      <c r="G31" s="41">
        <f>SUM(G21:G30)</f>
        <v>-266888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324565.09999999998</v>
      </c>
      <c r="D44" s="95">
        <f>'DOE25'!G45</f>
        <v>22618.05</v>
      </c>
      <c r="E44" s="95">
        <f>'DOE25'!H45</f>
        <v>136944.85999999999</v>
      </c>
      <c r="F44" s="95">
        <f>'DOE25'!I45</f>
        <v>1691925.3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59515.37</v>
      </c>
      <c r="D46" s="95">
        <f>'DOE25'!G47</f>
        <v>19204.18</v>
      </c>
      <c r="E46" s="95">
        <f>'DOE25'!H47</f>
        <v>-4908.9999999992579</v>
      </c>
      <c r="F46" s="95">
        <f>'DOE25'!I47</f>
        <v>7739875.7999999998</v>
      </c>
      <c r="G46" s="95">
        <f>'DOE25'!J47</f>
        <v>4759742.12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2716733.62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3100814.09</v>
      </c>
      <c r="D49" s="41">
        <f>SUM(D34:D48)</f>
        <v>41822.229999999996</v>
      </c>
      <c r="E49" s="41">
        <f>SUM(E34:E48)</f>
        <v>132035.86000000074</v>
      </c>
      <c r="F49" s="41">
        <f>SUM(F34:F48)</f>
        <v>9431801.0999999996</v>
      </c>
      <c r="G49" s="41">
        <f>SUM(G34:G48)</f>
        <v>4759742.12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78869911</v>
      </c>
      <c r="D50" s="41">
        <f>D49+D31</f>
        <v>3769996.14</v>
      </c>
      <c r="E50" s="41">
        <f>E49+E31</f>
        <v>14300078.080000002</v>
      </c>
      <c r="F50" s="41">
        <f>F49+F31</f>
        <v>67829866.289999992</v>
      </c>
      <c r="G50" s="41">
        <f>G49+G31</f>
        <v>4492854.12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34510485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4231405.88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80383.92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45.49</v>
      </c>
      <c r="D58" s="95">
        <f>'DOE25'!G95</f>
        <v>134.57</v>
      </c>
      <c r="E58" s="95">
        <f>'DOE25'!H95</f>
        <v>0</v>
      </c>
      <c r="F58" s="95">
        <f>'DOE25'!I95</f>
        <v>16948.060000000001</v>
      </c>
      <c r="G58" s="95">
        <f>'DOE25'!J95</f>
        <v>3118.45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719660.8899999999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448208.33999999997</v>
      </c>
      <c r="D60" s="95">
        <f>SUM('DOE25'!G97:G109)</f>
        <v>10468.52</v>
      </c>
      <c r="E60" s="95">
        <f>SUM('DOE25'!H97:H109)</f>
        <v>75619.649999999994</v>
      </c>
      <c r="F60" s="95">
        <f>SUM('DOE25'!I97:I109)</f>
        <v>0</v>
      </c>
      <c r="G60" s="95">
        <f>SUM('DOE25'!J97:J109)</f>
        <v>3226.93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4760043.63</v>
      </c>
      <c r="D61" s="130">
        <f>SUM(D56:D60)</f>
        <v>730263.97999999986</v>
      </c>
      <c r="E61" s="130">
        <f>SUM(E56:E60)</f>
        <v>75619.649999999994</v>
      </c>
      <c r="F61" s="130">
        <f>SUM(F56:F60)</f>
        <v>16948.060000000001</v>
      </c>
      <c r="G61" s="130">
        <f>SUM(G56:G60)</f>
        <v>6345.3799999999992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39270528.630000003</v>
      </c>
      <c r="D62" s="22">
        <f>D55+D61</f>
        <v>730263.97999999986</v>
      </c>
      <c r="E62" s="22">
        <f>E55+E61</f>
        <v>75619.649999999994</v>
      </c>
      <c r="F62" s="22">
        <f>F55+F61</f>
        <v>16948.060000000001</v>
      </c>
      <c r="G62" s="22">
        <f>G55+G61</f>
        <v>6345.3799999999992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13142629.789999999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8360334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11387.21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57233.37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21571584.370000001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946201.88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214325.33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736599.98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9600</v>
      </c>
      <c r="D76" s="95">
        <f>SUM('DOE25'!G130:G134)</f>
        <v>102054.21</v>
      </c>
      <c r="E76" s="95">
        <f>SUM('DOE25'!H130:H134)</f>
        <v>94304.67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1906727.19</v>
      </c>
      <c r="D77" s="130">
        <f>SUM(D71:D76)</f>
        <v>102054.21</v>
      </c>
      <c r="E77" s="130">
        <f>SUM(E71:E76)</f>
        <v>94304.67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23478311.560000002</v>
      </c>
      <c r="D80" s="130">
        <f>SUM(D78:D79)+D77+D69</f>
        <v>102054.21</v>
      </c>
      <c r="E80" s="130">
        <f>SUM(E78:E79)+E77+E69</f>
        <v>94304.67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974144.32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921763.09</v>
      </c>
      <c r="D87" s="95">
        <f>SUM('DOE25'!G152:G160)</f>
        <v>843439</v>
      </c>
      <c r="E87" s="95">
        <f>SUM('DOE25'!H152:H160)</f>
        <v>4271286.9499999993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1895907.41</v>
      </c>
      <c r="D90" s="131">
        <f>SUM(D84:D89)</f>
        <v>843439</v>
      </c>
      <c r="E90" s="131">
        <f>SUM(E84:E89)</f>
        <v>4271286.9499999993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153107.76999999999</v>
      </c>
    </row>
    <row r="96" spans="1:9" x14ac:dyDescent="0.2">
      <c r="A96" t="s">
        <v>758</v>
      </c>
      <c r="B96" s="32" t="s">
        <v>188</v>
      </c>
      <c r="C96" s="95">
        <f>SUM('DOE25'!F179:F180)</f>
        <v>160138.56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3077583.57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3237722.13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153107.76999999999</v>
      </c>
    </row>
    <row r="103" spans="1:7" ht="12.75" thickTop="1" thickBot="1" x14ac:dyDescent="0.25">
      <c r="A103" s="33" t="s">
        <v>765</v>
      </c>
      <c r="C103" s="86">
        <f>C62+C80+C90+C102</f>
        <v>67882469.730000004</v>
      </c>
      <c r="D103" s="86">
        <f>D62+D80+D90+D102</f>
        <v>1675757.19</v>
      </c>
      <c r="E103" s="86">
        <f>E62+E80+E90+E102</f>
        <v>4441211.2699999996</v>
      </c>
      <c r="F103" s="86">
        <f>F62+F80+F90+F102</f>
        <v>16948.060000000001</v>
      </c>
      <c r="G103" s="86">
        <f>G62+G80+G102</f>
        <v>159453.15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27406621.559999999</v>
      </c>
      <c r="D108" s="24" t="s">
        <v>289</v>
      </c>
      <c r="E108" s="95">
        <f>('DOE25'!L275)+('DOE25'!L294)+('DOE25'!L313)</f>
        <v>642361.39000000013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11093905.210000001</v>
      </c>
      <c r="D109" s="24" t="s">
        <v>289</v>
      </c>
      <c r="E109" s="95">
        <f>('DOE25'!L276)+('DOE25'!L295)+('DOE25'!L314)</f>
        <v>1918844.2700000003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912891.27</v>
      </c>
      <c r="D110" s="24" t="s">
        <v>289</v>
      </c>
      <c r="E110" s="95">
        <f>('DOE25'!L277)+('DOE25'!L296)+('DOE25'!L315)</f>
        <v>217647.65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864668.89</v>
      </c>
      <c r="D111" s="24" t="s">
        <v>289</v>
      </c>
      <c r="E111" s="95">
        <f>+('DOE25'!L278)+('DOE25'!L297)+('DOE25'!L316)</f>
        <v>393787.72000000003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639915.21000000008</v>
      </c>
      <c r="D113" s="24" t="s">
        <v>289</v>
      </c>
      <c r="E113" s="95">
        <f>+ SUM('DOE25'!L332:L334)</f>
        <v>168175.56000000003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40918002.140000001</v>
      </c>
      <c r="D114" s="86">
        <f>SUM(D108:D113)</f>
        <v>0</v>
      </c>
      <c r="E114" s="86">
        <f>SUM(E108:E113)</f>
        <v>3340816.5900000003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4914606.8</v>
      </c>
      <c r="D117" s="24" t="s">
        <v>289</v>
      </c>
      <c r="E117" s="95">
        <f>+('DOE25'!L280)+('DOE25'!L299)+('DOE25'!L318)</f>
        <v>315952.02999999997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1966492.9899999998</v>
      </c>
      <c r="D118" s="24" t="s">
        <v>289</v>
      </c>
      <c r="E118" s="95">
        <f>+('DOE25'!L281)+('DOE25'!L300)+('DOE25'!L319)</f>
        <v>610473.64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928710.67000000016</v>
      </c>
      <c r="D119" s="24" t="s">
        <v>289</v>
      </c>
      <c r="E119" s="95">
        <f>+('DOE25'!L282)+('DOE25'!L301)+('DOE25'!L320)</f>
        <v>6906.3899999999994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3620429.58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604877.47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5268158.62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2412530.2800000003</v>
      </c>
      <c r="D123" s="24" t="s">
        <v>289</v>
      </c>
      <c r="E123" s="95">
        <f>+('DOE25'!L286)+('DOE25'!L305)+('DOE25'!L324)</f>
        <v>36523.020000000004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460238.44000000006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1729140.23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20176044.850000001</v>
      </c>
      <c r="D127" s="86">
        <f>SUM(D117:D126)</f>
        <v>1729140.23</v>
      </c>
      <c r="E127" s="86">
        <f>SUM(E117:E126)</f>
        <v>969855.08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228320.45</v>
      </c>
      <c r="D129" s="24" t="s">
        <v>289</v>
      </c>
      <c r="E129" s="129">
        <f>'DOE25'!L335</f>
        <v>0</v>
      </c>
      <c r="F129" s="129">
        <f>SUM('DOE25'!L373:'DOE25'!L379)</f>
        <v>36643099.730000004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2807233.99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3475402.83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52904.13</v>
      </c>
      <c r="E133" s="95">
        <f>'DOE25'!L343</f>
        <v>107028.23</v>
      </c>
      <c r="F133" s="95">
        <f>'DOE25'!K380</f>
        <v>0</v>
      </c>
      <c r="G133" s="95">
        <f>'DOE25'!K433</f>
        <v>3077583.57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159453.15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-6345.3800000000047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6664065.040000001</v>
      </c>
      <c r="D143" s="141">
        <f>SUM(D129:D142)</f>
        <v>52904.13</v>
      </c>
      <c r="E143" s="141">
        <f>SUM(E129:E142)</f>
        <v>107028.23</v>
      </c>
      <c r="F143" s="141">
        <f>SUM(F129:F142)</f>
        <v>36643099.730000004</v>
      </c>
      <c r="G143" s="141">
        <f>SUM(G129:G142)</f>
        <v>3077583.57</v>
      </c>
    </row>
    <row r="144" spans="1:7" ht="12.75" thickTop="1" thickBot="1" x14ac:dyDescent="0.25">
      <c r="A144" s="33" t="s">
        <v>244</v>
      </c>
      <c r="C144" s="86">
        <f>(C114+C127+C143)</f>
        <v>67758112.030000001</v>
      </c>
      <c r="D144" s="86">
        <f>(D114+D127+D143)</f>
        <v>1782044.3599999999</v>
      </c>
      <c r="E144" s="86">
        <f>(E114+E127+E143)</f>
        <v>4417699.9000000004</v>
      </c>
      <c r="F144" s="86">
        <f>(F114+F127+F143)</f>
        <v>36643099.730000004</v>
      </c>
      <c r="G144" s="86">
        <f>(G114+G127+G143)</f>
        <v>3077583.57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11/91 - 12/10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04/40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33198041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 t="str">
        <f>'DOE25'!F493</f>
        <v>See attached paper for details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66958728.979999997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66958728.979999997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2807233.99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2807233.99</v>
      </c>
    </row>
    <row r="158" spans="1:9" x14ac:dyDescent="0.2">
      <c r="A158" s="22" t="s">
        <v>35</v>
      </c>
      <c r="B158" s="137">
        <f>'DOE25'!F497</f>
        <v>64151494.990000002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64151494.990000002</v>
      </c>
    </row>
    <row r="159" spans="1:9" x14ac:dyDescent="0.2">
      <c r="A159" s="22" t="s">
        <v>36</v>
      </c>
      <c r="B159" s="137">
        <f>'DOE25'!F498</f>
        <v>31008987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31008987</v>
      </c>
    </row>
    <row r="160" spans="1:9" x14ac:dyDescent="0.2">
      <c r="A160" s="22" t="s">
        <v>37</v>
      </c>
      <c r="B160" s="137">
        <f>'DOE25'!F499</f>
        <v>95160481.99000001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95160481.99000001</v>
      </c>
    </row>
    <row r="161" spans="1:7" x14ac:dyDescent="0.2">
      <c r="A161" s="22" t="s">
        <v>38</v>
      </c>
      <c r="B161" s="137">
        <f>'DOE25'!F500</f>
        <v>3847854.99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3847854.99</v>
      </c>
    </row>
    <row r="162" spans="1:7" x14ac:dyDescent="0.2">
      <c r="A162" s="22" t="s">
        <v>39</v>
      </c>
      <c r="B162" s="137">
        <f>'DOE25'!F501</f>
        <v>2394928.14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2394928.14</v>
      </c>
    </row>
    <row r="163" spans="1:7" x14ac:dyDescent="0.2">
      <c r="A163" s="22" t="s">
        <v>246</v>
      </c>
      <c r="B163" s="137">
        <f>'DOE25'!F502</f>
        <v>6242783.1300000008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6242783.1300000008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Concord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14008</v>
      </c>
    </row>
    <row r="5" spans="1:4" x14ac:dyDescent="0.2">
      <c r="B5" t="s">
        <v>704</v>
      </c>
      <c r="C5" s="179">
        <f>IF('DOE25'!G664+'DOE25'!G669=0,0,ROUND('DOE25'!G671,0))</f>
        <v>13006</v>
      </c>
    </row>
    <row r="6" spans="1:4" x14ac:dyDescent="0.2">
      <c r="B6" t="s">
        <v>62</v>
      </c>
      <c r="C6" s="179">
        <f>IF('DOE25'!H664+'DOE25'!H669=0,0,ROUND('DOE25'!H671,0))</f>
        <v>11422</v>
      </c>
    </row>
    <row r="7" spans="1:4" x14ac:dyDescent="0.2">
      <c r="B7" t="s">
        <v>705</v>
      </c>
      <c r="C7" s="179">
        <f>IF('DOE25'!I664+'DOE25'!I669=0,0,ROUND('DOE25'!I671,0))</f>
        <v>12775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28048983</v>
      </c>
      <c r="D10" s="182">
        <f>ROUND((C10/$C$28)*100,1)</f>
        <v>40.1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13012749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1130539</v>
      </c>
      <c r="D12" s="182">
        <f>ROUND((C12/$C$28)*100,1)</f>
        <v>1.6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1258457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5230559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2576967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1395856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3620430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604877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5268159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2449053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808091</v>
      </c>
      <c r="D24" s="182">
        <f t="shared" si="0"/>
        <v>1.2</v>
      </c>
    </row>
    <row r="25" spans="1:4" x14ac:dyDescent="0.2">
      <c r="A25">
        <v>5120</v>
      </c>
      <c r="B25" t="s">
        <v>720</v>
      </c>
      <c r="C25" s="179">
        <f>ROUND('DOE25'!L260+'DOE25'!L341,0)</f>
        <v>3475403</v>
      </c>
      <c r="D25" s="182">
        <f t="shared" si="0"/>
        <v>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999010.59000000008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69879133.590000004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36871420</v>
      </c>
    </row>
    <row r="30" spans="1:4" x14ac:dyDescent="0.2">
      <c r="B30" s="187" t="s">
        <v>729</v>
      </c>
      <c r="C30" s="180">
        <f>SUM(C28:C29)</f>
        <v>106750553.59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2807234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34510485</v>
      </c>
      <c r="D35" s="182">
        <f t="shared" ref="D35:D40" si="1">ROUND((C35/$C$41)*100,1)</f>
        <v>49.3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4859091.2900000066</v>
      </c>
      <c r="D36" s="182">
        <f t="shared" si="1"/>
        <v>6.9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21514351</v>
      </c>
      <c r="D37" s="182">
        <f t="shared" si="1"/>
        <v>30.7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2160319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7010633</v>
      </c>
      <c r="D39" s="182">
        <f t="shared" si="1"/>
        <v>10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70054879.290000007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Concord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8"/>
      <c r="AB29" s="20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8"/>
      <c r="AO29" s="20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8"/>
      <c r="BB29" s="208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8"/>
      <c r="BO29" s="208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8"/>
      <c r="CB29" s="208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8"/>
      <c r="CO29" s="208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8"/>
      <c r="DB29" s="208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8"/>
      <c r="DO29" s="208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8"/>
      <c r="EB29" s="208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8"/>
      <c r="EO29" s="208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8"/>
      <c r="FB29" s="208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8"/>
      <c r="FO29" s="208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8"/>
      <c r="GB29" s="208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8"/>
      <c r="GO29" s="208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8"/>
      <c r="HB29" s="208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8"/>
      <c r="HO29" s="208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8"/>
      <c r="IB29" s="208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8"/>
      <c r="IO29" s="208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8"/>
      <c r="AB30" s="20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8"/>
      <c r="AO30" s="20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8"/>
      <c r="BB30" s="208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8"/>
      <c r="BO30" s="208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8"/>
      <c r="CB30" s="208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8"/>
      <c r="CO30" s="208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8"/>
      <c r="DB30" s="208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8"/>
      <c r="DO30" s="208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8"/>
      <c r="EB30" s="208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8"/>
      <c r="EO30" s="208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8"/>
      <c r="FB30" s="208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8"/>
      <c r="FO30" s="208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8"/>
      <c r="GB30" s="208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8"/>
      <c r="GO30" s="208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8"/>
      <c r="HB30" s="208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8"/>
      <c r="HO30" s="208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8"/>
      <c r="IB30" s="208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8"/>
      <c r="IO30" s="208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8"/>
      <c r="AB31" s="20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8"/>
      <c r="AO31" s="20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8"/>
      <c r="BB31" s="20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8"/>
      <c r="BO31" s="208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8"/>
      <c r="CB31" s="208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8"/>
      <c r="CO31" s="208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8"/>
      <c r="DB31" s="208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8"/>
      <c r="DO31" s="208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8"/>
      <c r="EB31" s="208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8"/>
      <c r="EO31" s="208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8"/>
      <c r="FB31" s="208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8"/>
      <c r="FO31" s="208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8"/>
      <c r="GB31" s="208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8"/>
      <c r="GO31" s="208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8"/>
      <c r="HB31" s="208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8"/>
      <c r="HO31" s="208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8"/>
      <c r="IB31" s="208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8"/>
      <c r="IO31" s="208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8"/>
      <c r="AB38" s="20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8"/>
      <c r="AO38" s="20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8"/>
      <c r="BB38" s="20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8"/>
      <c r="BO38" s="208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8"/>
      <c r="CB38" s="208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8"/>
      <c r="CO38" s="208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8"/>
      <c r="DB38" s="208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8"/>
      <c r="DO38" s="208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8"/>
      <c r="EB38" s="208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8"/>
      <c r="EO38" s="208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8"/>
      <c r="FB38" s="208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8"/>
      <c r="FO38" s="208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8"/>
      <c r="GB38" s="208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8"/>
      <c r="GO38" s="208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8"/>
      <c r="HB38" s="208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8"/>
      <c r="HO38" s="208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8"/>
      <c r="IB38" s="208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8"/>
      <c r="IO38" s="208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8"/>
      <c r="AB39" s="20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8"/>
      <c r="AO39" s="20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8"/>
      <c r="BB39" s="208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8"/>
      <c r="BO39" s="208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8"/>
      <c r="CB39" s="208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8"/>
      <c r="CO39" s="208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8"/>
      <c r="DB39" s="208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8"/>
      <c r="DO39" s="208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8"/>
      <c r="EB39" s="208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8"/>
      <c r="EO39" s="208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8"/>
      <c r="FB39" s="208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8"/>
      <c r="FO39" s="208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8"/>
      <c r="GB39" s="208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8"/>
      <c r="GO39" s="208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8"/>
      <c r="HB39" s="208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8"/>
      <c r="HO39" s="208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8"/>
      <c r="IB39" s="208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8"/>
      <c r="IO39" s="208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8"/>
      <c r="AB40" s="20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8"/>
      <c r="AO40" s="20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8"/>
      <c r="BB40" s="208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8"/>
      <c r="BO40" s="208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8"/>
      <c r="CB40" s="208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8"/>
      <c r="CO40" s="208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8"/>
      <c r="DB40" s="208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8"/>
      <c r="DO40" s="208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8"/>
      <c r="EB40" s="208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8"/>
      <c r="EO40" s="208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8"/>
      <c r="FB40" s="208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8"/>
      <c r="FO40" s="208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8"/>
      <c r="GB40" s="208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8"/>
      <c r="GO40" s="208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8"/>
      <c r="HB40" s="208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8"/>
      <c r="HO40" s="208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8"/>
      <c r="IB40" s="208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8"/>
      <c r="IO40" s="208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2"/>
      <c r="B74" s="212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2"/>
      <c r="B75" s="212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2"/>
      <c r="B76" s="212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2"/>
      <c r="B77" s="212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2"/>
      <c r="B78" s="212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2"/>
      <c r="B79" s="212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2"/>
      <c r="B80" s="212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2"/>
      <c r="B81" s="212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2"/>
      <c r="B82" s="212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2"/>
      <c r="B83" s="212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2"/>
      <c r="B84" s="212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2"/>
      <c r="B85" s="212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2"/>
      <c r="B86" s="212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2"/>
      <c r="B87" s="212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2"/>
      <c r="B88" s="212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2"/>
      <c r="B89" s="212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2"/>
      <c r="B90" s="212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F0A" sheet="1" objects="1" scenarios="1"/>
  <mergeCells count="223">
    <mergeCell ref="FC40:FM40"/>
    <mergeCell ref="FP40:FZ40"/>
    <mergeCell ref="CC40:CM40"/>
    <mergeCell ref="CP40:CZ40"/>
    <mergeCell ref="C46:M46"/>
    <mergeCell ref="GC40:GM40"/>
    <mergeCell ref="GP40:GZ40"/>
    <mergeCell ref="HC40:HM40"/>
    <mergeCell ref="C45:M45"/>
    <mergeCell ref="DC40:DM40"/>
    <mergeCell ref="DP40:DZ40"/>
    <mergeCell ref="C40:M40"/>
    <mergeCell ref="P40:Z40"/>
    <mergeCell ref="AC40:AM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C40:IM40"/>
    <mergeCell ref="IP40:IV4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HP40:HZ40"/>
    <mergeCell ref="EC40:EM40"/>
    <mergeCell ref="BC40:BM40"/>
    <mergeCell ref="BP40:BZ40"/>
    <mergeCell ref="AP31:AZ31"/>
    <mergeCell ref="P32:Z32"/>
    <mergeCell ref="IP29:IV29"/>
    <mergeCell ref="P30:Z30"/>
    <mergeCell ref="AC30:AM30"/>
    <mergeCell ref="AP30:AZ30"/>
    <mergeCell ref="CC30:CM30"/>
    <mergeCell ref="CP30:CZ30"/>
    <mergeCell ref="DC30:DM30"/>
    <mergeCell ref="DP30:DZ30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CP29:CZ29"/>
    <mergeCell ref="DC29:DM29"/>
    <mergeCell ref="DP29:DZ29"/>
    <mergeCell ref="EC29:EM29"/>
    <mergeCell ref="BP29:BZ29"/>
    <mergeCell ref="CC29:CM29"/>
    <mergeCell ref="GC30:GM30"/>
    <mergeCell ref="GP30:GZ30"/>
    <mergeCell ref="EC30:EM30"/>
    <mergeCell ref="EP30:EZ30"/>
    <mergeCell ref="FC30:FM30"/>
    <mergeCell ref="FP30:FZ30"/>
    <mergeCell ref="BC30:BM30"/>
    <mergeCell ref="BP30:BZ30"/>
    <mergeCell ref="EP32:EZ32"/>
    <mergeCell ref="DC31:DM31"/>
    <mergeCell ref="FP31:FZ31"/>
    <mergeCell ref="GC31:GM31"/>
    <mergeCell ref="GP31:GZ31"/>
    <mergeCell ref="DP31:DZ31"/>
    <mergeCell ref="EC31:EM31"/>
    <mergeCell ref="EP31:EZ31"/>
    <mergeCell ref="FC31:FM31"/>
    <mergeCell ref="IC30:IM30"/>
    <mergeCell ref="DC38:DM38"/>
    <mergeCell ref="DP38:DZ38"/>
    <mergeCell ref="EC38:EM38"/>
    <mergeCell ref="EP38:EZ38"/>
    <mergeCell ref="FC38:FM38"/>
    <mergeCell ref="FP38:FZ38"/>
    <mergeCell ref="HP29:HZ29"/>
    <mergeCell ref="IC29:IM29"/>
    <mergeCell ref="EP29:EZ29"/>
    <mergeCell ref="FC29:FM29"/>
    <mergeCell ref="FP29:FZ29"/>
    <mergeCell ref="GC29:GM29"/>
    <mergeCell ref="DC32:DM32"/>
    <mergeCell ref="DP32:DZ32"/>
    <mergeCell ref="EC32:EM32"/>
    <mergeCell ref="GP38:GZ38"/>
    <mergeCell ref="GP29:GZ29"/>
    <mergeCell ref="HC29:HM29"/>
    <mergeCell ref="HC30:HM30"/>
    <mergeCell ref="HP30:HZ30"/>
    <mergeCell ref="HC32:HM32"/>
    <mergeCell ref="HC31:HM31"/>
    <mergeCell ref="HC38:HM38"/>
    <mergeCell ref="HP38:HZ38"/>
    <mergeCell ref="IC38:IM38"/>
    <mergeCell ref="FP32:FZ32"/>
    <mergeCell ref="GC32:GM32"/>
    <mergeCell ref="GC38:GM38"/>
    <mergeCell ref="GP32:GZ32"/>
    <mergeCell ref="C33:M33"/>
    <mergeCell ref="C37:M37"/>
    <mergeCell ref="C38:M38"/>
    <mergeCell ref="BP38:BZ38"/>
    <mergeCell ref="CC38:CM38"/>
    <mergeCell ref="CC32:CM32"/>
    <mergeCell ref="CP38:CZ38"/>
    <mergeCell ref="C32:M32"/>
    <mergeCell ref="C34:M34"/>
    <mergeCell ref="C35:M35"/>
    <mergeCell ref="C36:M36"/>
    <mergeCell ref="BP32:BZ32"/>
    <mergeCell ref="P38:Z38"/>
    <mergeCell ref="AC38:AM38"/>
    <mergeCell ref="AP38:AZ38"/>
    <mergeCell ref="BC38:BM38"/>
    <mergeCell ref="AC32:AM32"/>
    <mergeCell ref="AP32:AZ32"/>
    <mergeCell ref="C5:M5"/>
    <mergeCell ref="C6:M6"/>
    <mergeCell ref="C7:M7"/>
    <mergeCell ref="C8:M8"/>
    <mergeCell ref="C9:M9"/>
    <mergeCell ref="C10:M10"/>
    <mergeCell ref="C13:M13"/>
    <mergeCell ref="A1:I1"/>
    <mergeCell ref="C3:M3"/>
    <mergeCell ref="C4:M4"/>
    <mergeCell ref="F2:I2"/>
    <mergeCell ref="A2:E2"/>
    <mergeCell ref="C16:M16"/>
    <mergeCell ref="C17:M17"/>
    <mergeCell ref="BC29:BM29"/>
    <mergeCell ref="C11:M11"/>
    <mergeCell ref="C12:M12"/>
    <mergeCell ref="C20:M20"/>
    <mergeCell ref="C25:M25"/>
    <mergeCell ref="C18:M18"/>
    <mergeCell ref="C19:M19"/>
    <mergeCell ref="C26:M26"/>
    <mergeCell ref="C14:M14"/>
    <mergeCell ref="C15:M15"/>
    <mergeCell ref="P29:Z29"/>
    <mergeCell ref="AC29:AM29"/>
    <mergeCell ref="AP29:AZ29"/>
    <mergeCell ref="C30:M30"/>
    <mergeCell ref="C31:M31"/>
    <mergeCell ref="P31:Z31"/>
    <mergeCell ref="AC31:AM31"/>
    <mergeCell ref="C29:M29"/>
    <mergeCell ref="C21:M21"/>
    <mergeCell ref="C22:M22"/>
    <mergeCell ref="C23:M23"/>
    <mergeCell ref="C24:M24"/>
    <mergeCell ref="C28:M28"/>
    <mergeCell ref="C27:M27"/>
    <mergeCell ref="C39:M39"/>
    <mergeCell ref="C42:M42"/>
    <mergeCell ref="C41:M41"/>
    <mergeCell ref="C44:M44"/>
    <mergeCell ref="C43:M43"/>
    <mergeCell ref="C50:M50"/>
    <mergeCell ref="C47:M47"/>
    <mergeCell ref="C48:M48"/>
    <mergeCell ref="C49:M49"/>
    <mergeCell ref="C51:M51"/>
    <mergeCell ref="C82:M82"/>
    <mergeCell ref="C66:M66"/>
    <mergeCell ref="C67:M67"/>
    <mergeCell ref="C75:M75"/>
    <mergeCell ref="C76:M76"/>
    <mergeCell ref="C79:M79"/>
    <mergeCell ref="C80:M80"/>
    <mergeCell ref="C68:M68"/>
    <mergeCell ref="C69:M69"/>
    <mergeCell ref="C77:M77"/>
    <mergeCell ref="C65:M65"/>
    <mergeCell ref="C70:M70"/>
    <mergeCell ref="A72:E72"/>
    <mergeCell ref="C81:M81"/>
    <mergeCell ref="C78:M78"/>
    <mergeCell ref="C73:M73"/>
    <mergeCell ref="C74:M74"/>
    <mergeCell ref="C64:M64"/>
    <mergeCell ref="C62:M62"/>
    <mergeCell ref="C61:M61"/>
    <mergeCell ref="C53:M53"/>
    <mergeCell ref="C54:M54"/>
    <mergeCell ref="C55:M55"/>
    <mergeCell ref="C89:M89"/>
    <mergeCell ref="C90:M90"/>
    <mergeCell ref="C87:M87"/>
    <mergeCell ref="C88:M88"/>
    <mergeCell ref="C83:M83"/>
    <mergeCell ref="C84:M84"/>
    <mergeCell ref="C85:M85"/>
    <mergeCell ref="C86:M86"/>
    <mergeCell ref="C52:M52"/>
    <mergeCell ref="C63:M63"/>
    <mergeCell ref="C56:M56"/>
    <mergeCell ref="C57:M57"/>
    <mergeCell ref="C59:M59"/>
    <mergeCell ref="C58:M58"/>
    <mergeCell ref="C60:M6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2012-09-26T12:41:59Z</cp:lastPrinted>
  <dcterms:created xsi:type="dcterms:W3CDTF">1997-12-04T19:04:30Z</dcterms:created>
  <dcterms:modified xsi:type="dcterms:W3CDTF">2012-11-21T14:21:19Z</dcterms:modified>
</cp:coreProperties>
</file>