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39" i="1" l="1"/>
  <c r="J178" i="1"/>
  <c r="G396" i="1"/>
  <c r="K265" i="1"/>
  <c r="C10" i="12" l="1"/>
  <c r="G232" i="1"/>
  <c r="G214" i="1"/>
  <c r="G196" i="1"/>
  <c r="G204" i="1"/>
  <c r="G222" i="1"/>
  <c r="G240" i="1"/>
  <c r="G239" i="1"/>
  <c r="G221" i="1"/>
  <c r="G203" i="1"/>
  <c r="B19" i="12"/>
  <c r="B20" i="12"/>
  <c r="B21" i="12"/>
  <c r="D11" i="13" l="1"/>
  <c r="C19" i="12" l="1"/>
  <c r="C21" i="12"/>
  <c r="C12" i="12"/>
  <c r="C11" i="12"/>
  <c r="B12" i="12"/>
  <c r="C39" i="12"/>
  <c r="B11" i="12"/>
  <c r="B10" i="12"/>
  <c r="C28" i="12"/>
  <c r="B28" i="12"/>
  <c r="F47" i="1" l="1"/>
  <c r="I612" i="1" l="1"/>
  <c r="I611" i="1"/>
  <c r="I610" i="1"/>
  <c r="H612" i="1"/>
  <c r="H611" i="1"/>
  <c r="H610" i="1"/>
  <c r="G611" i="1"/>
  <c r="G612" i="1"/>
  <c r="G610" i="1"/>
  <c r="F612" i="1"/>
  <c r="F611" i="1"/>
  <c r="F610" i="1"/>
  <c r="I563" i="1"/>
  <c r="I562" i="1"/>
  <c r="I561" i="1"/>
  <c r="H563" i="1"/>
  <c r="H562" i="1"/>
  <c r="H561" i="1"/>
  <c r="G562" i="1"/>
  <c r="G563" i="1"/>
  <c r="G561" i="1"/>
  <c r="F563" i="1"/>
  <c r="F562" i="1"/>
  <c r="F561" i="1"/>
  <c r="G494" i="1"/>
  <c r="F497" i="1"/>
  <c r="F496" i="1"/>
  <c r="F494" i="1"/>
  <c r="F464" i="1" l="1"/>
  <c r="J464" i="1"/>
  <c r="G439" i="1"/>
  <c r="F447" i="1"/>
  <c r="G388" i="1"/>
  <c r="F440" i="1"/>
  <c r="F22" i="1"/>
  <c r="H239" i="1" l="1"/>
  <c r="H221" i="1"/>
  <c r="H204" i="1"/>
  <c r="H242" i="1"/>
  <c r="H206" i="1"/>
  <c r="H224" i="1"/>
  <c r="F24" i="1"/>
  <c r="F14" i="1" l="1"/>
  <c r="F13" i="1"/>
  <c r="F159" i="1"/>
  <c r="F44" i="1" l="1"/>
  <c r="F17" i="1"/>
  <c r="F36" i="1" s="1"/>
  <c r="F30" i="1"/>
  <c r="F109" i="1"/>
  <c r="F10" i="1" l="1"/>
  <c r="F9" i="1"/>
  <c r="J603" i="1"/>
  <c r="I603" i="1"/>
  <c r="H603" i="1"/>
  <c r="I594" i="1"/>
  <c r="H225" i="1"/>
  <c r="H313" i="1"/>
  <c r="G520" i="1"/>
  <c r="H537" i="1"/>
  <c r="H536" i="1"/>
  <c r="H535" i="1"/>
  <c r="F522" i="1"/>
  <c r="G522" i="1" s="1"/>
  <c r="F521" i="1"/>
  <c r="G521" i="1" s="1"/>
  <c r="F520" i="1"/>
  <c r="I520" i="1"/>
  <c r="G532" i="1"/>
  <c r="G531" i="1"/>
  <c r="G530" i="1"/>
  <c r="K522" i="1"/>
  <c r="K521" i="1"/>
  <c r="K520" i="1"/>
  <c r="K532" i="1"/>
  <c r="K531" i="1"/>
  <c r="K530" i="1"/>
  <c r="J520" i="1"/>
  <c r="J527" i="1"/>
  <c r="J526" i="1"/>
  <c r="J525" i="1"/>
  <c r="I522" i="1"/>
  <c r="I521" i="1"/>
  <c r="I527" i="1"/>
  <c r="I526" i="1"/>
  <c r="I525" i="1"/>
  <c r="H526" i="1"/>
  <c r="H525" i="1"/>
  <c r="H527" i="1"/>
  <c r="H532" i="1"/>
  <c r="H531" i="1"/>
  <c r="H530" i="1"/>
  <c r="H542" i="1"/>
  <c r="H541" i="1"/>
  <c r="H540" i="1"/>
  <c r="F532" i="1" l="1"/>
  <c r="F531" i="1"/>
  <c r="F530" i="1"/>
  <c r="F527" i="1"/>
  <c r="G527" i="1" s="1"/>
  <c r="F526" i="1"/>
  <c r="G526" i="1" s="1"/>
  <c r="F525" i="1"/>
  <c r="G525" i="1" s="1"/>
  <c r="H232" i="1"/>
  <c r="H214" i="1"/>
  <c r="H196" i="1"/>
  <c r="H243" i="1"/>
  <c r="H207" i="1"/>
  <c r="J593" i="1"/>
  <c r="J591" i="1"/>
  <c r="I591" i="1"/>
  <c r="H591" i="1"/>
  <c r="I196" i="1"/>
  <c r="I214" i="1"/>
  <c r="I232" i="1"/>
  <c r="H203" i="1"/>
  <c r="H238" i="1"/>
  <c r="H220" i="1"/>
  <c r="H202" i="1"/>
  <c r="H237" i="1"/>
  <c r="H219" i="1"/>
  <c r="H201" i="1"/>
  <c r="H233" i="1"/>
  <c r="H215" i="1"/>
  <c r="H197" i="1"/>
  <c r="H199" i="1"/>
  <c r="H216" i="1"/>
  <c r="H217" i="1"/>
  <c r="H222" i="1"/>
  <c r="H235" i="1"/>
  <c r="H240" i="1"/>
  <c r="H244" i="1"/>
  <c r="K239" i="1"/>
  <c r="K221" i="1"/>
  <c r="K203" i="1"/>
  <c r="K202" i="1"/>
  <c r="K233" i="1"/>
  <c r="K215" i="1"/>
  <c r="K197" i="1"/>
  <c r="K240" i="1"/>
  <c r="K237" i="1"/>
  <c r="K235" i="1"/>
  <c r="K232" i="1"/>
  <c r="K222" i="1"/>
  <c r="K217" i="1"/>
  <c r="K214" i="1"/>
  <c r="K204" i="1"/>
  <c r="K196" i="1"/>
  <c r="J590" i="1" l="1"/>
  <c r="J592" i="1"/>
  <c r="I590" i="1"/>
  <c r="H590" i="1"/>
  <c r="I593" i="1"/>
  <c r="H594" i="1"/>
  <c r="F581" i="1"/>
  <c r="H520" i="1" s="1"/>
  <c r="H581" i="1"/>
  <c r="G582" i="1"/>
  <c r="H578" i="1"/>
  <c r="H582" i="1"/>
  <c r="G581" i="1"/>
  <c r="H521" i="1" s="1"/>
  <c r="F582" i="1"/>
  <c r="H522" i="1" l="1"/>
  <c r="F95" i="1"/>
  <c r="F62" i="1"/>
  <c r="F43" i="1" l="1"/>
  <c r="G464" i="1"/>
  <c r="G238" i="1"/>
  <c r="G220" i="1"/>
  <c r="G215" i="1"/>
  <c r="G202" i="1"/>
  <c r="J240" i="1"/>
  <c r="J196" i="1"/>
  <c r="J232" i="1"/>
  <c r="J214" i="1"/>
  <c r="I242" i="1"/>
  <c r="I206" i="1"/>
  <c r="G198" i="1"/>
  <c r="F204" i="1"/>
  <c r="F214" i="1"/>
  <c r="F196" i="1"/>
  <c r="F197" i="1"/>
  <c r="G197" i="1" s="1"/>
  <c r="F232" i="1"/>
  <c r="F239" i="1"/>
  <c r="F221" i="1"/>
  <c r="F203" i="1"/>
  <c r="J233" i="1"/>
  <c r="I234" i="1"/>
  <c r="F233" i="1"/>
  <c r="G233" i="1" s="1"/>
  <c r="F215" i="1"/>
  <c r="I215" i="1"/>
  <c r="J197" i="1"/>
  <c r="I197" i="1"/>
  <c r="F202" i="1"/>
  <c r="J202" i="1"/>
  <c r="I202" i="1"/>
  <c r="I233" i="1"/>
  <c r="K260" i="1"/>
  <c r="K259" i="1"/>
  <c r="J242" i="1"/>
  <c r="I224" i="1"/>
  <c r="F206" i="1"/>
  <c r="G206" i="1" s="1"/>
  <c r="F224" i="1"/>
  <c r="G224" i="1" s="1"/>
  <c r="F242" i="1"/>
  <c r="G242" i="1" s="1"/>
  <c r="J224" i="1"/>
  <c r="J206" i="1"/>
  <c r="I239" i="1"/>
  <c r="I221" i="1"/>
  <c r="I203" i="1"/>
  <c r="I220" i="1"/>
  <c r="F238" i="1"/>
  <c r="F220" i="1"/>
  <c r="J201" i="1"/>
  <c r="I201" i="1"/>
  <c r="F237" i="1"/>
  <c r="G237" i="1" s="1"/>
  <c r="F219" i="1"/>
  <c r="G219" i="1" s="1"/>
  <c r="F201" i="1"/>
  <c r="G201" i="1" s="1"/>
  <c r="I240" i="1" l="1"/>
  <c r="F240" i="1"/>
  <c r="J238" i="1"/>
  <c r="I238" i="1"/>
  <c r="J237" i="1"/>
  <c r="I237" i="1"/>
  <c r="J235" i="1"/>
  <c r="I235" i="1"/>
  <c r="F235" i="1"/>
  <c r="G235" i="1" s="1"/>
  <c r="F234" i="1"/>
  <c r="G234" i="1" s="1"/>
  <c r="J234" i="1"/>
  <c r="J219" i="1" l="1"/>
  <c r="I219" i="1"/>
  <c r="J222" i="1"/>
  <c r="I222" i="1"/>
  <c r="F222" i="1"/>
  <c r="J220" i="1"/>
  <c r="J217" i="1"/>
  <c r="I217" i="1"/>
  <c r="F217" i="1"/>
  <c r="G217" i="1" s="1"/>
  <c r="J216" i="1"/>
  <c r="I216" i="1"/>
  <c r="F216" i="1"/>
  <c r="G216" i="1" s="1"/>
  <c r="J215" i="1"/>
  <c r="J204" i="1"/>
  <c r="I204" i="1"/>
  <c r="I199" i="1"/>
  <c r="F199" i="1"/>
  <c r="G199" i="1" s="1"/>
  <c r="K315" i="1" l="1"/>
  <c r="K295" i="1"/>
  <c r="K276" i="1"/>
  <c r="H320" i="1"/>
  <c r="H301" i="1"/>
  <c r="H282" i="1"/>
  <c r="H324" i="1"/>
  <c r="H305" i="1"/>
  <c r="H286" i="1"/>
  <c r="K343" i="1"/>
  <c r="H314" i="1"/>
  <c r="H295" i="1"/>
  <c r="H276" i="1"/>
  <c r="I332" i="1"/>
  <c r="H332" i="1"/>
  <c r="G332" i="1"/>
  <c r="H318" i="1"/>
  <c r="K318" i="1"/>
  <c r="J315" i="1"/>
  <c r="H315" i="1"/>
  <c r="I315" i="1"/>
  <c r="H294" i="1"/>
  <c r="H275" i="1"/>
  <c r="G295" i="1"/>
  <c r="F295" i="1"/>
  <c r="F314" i="1"/>
  <c r="F276" i="1"/>
  <c r="G314" i="1"/>
  <c r="G276" i="1"/>
  <c r="F275" i="1"/>
  <c r="G275" i="1"/>
  <c r="H281" i="1"/>
  <c r="K275" i="1"/>
  <c r="I275" i="1"/>
  <c r="I294" i="1"/>
  <c r="G294" i="1"/>
  <c r="G313" i="1"/>
  <c r="F313" i="1"/>
  <c r="F294" i="1"/>
  <c r="J276" i="1"/>
  <c r="I276" i="1"/>
  <c r="J314" i="1"/>
  <c r="J295" i="1"/>
  <c r="I314" i="1"/>
  <c r="I295" i="1"/>
  <c r="K280" i="1"/>
  <c r="G280" i="1"/>
  <c r="H154" i="1"/>
  <c r="H156" i="1"/>
  <c r="H155" i="1"/>
  <c r="H153" i="1"/>
  <c r="H151" i="1"/>
  <c r="H22" i="1"/>
  <c r="H13" i="1"/>
  <c r="I358" i="1" l="1"/>
  <c r="I359" i="1"/>
  <c r="I357" i="1"/>
  <c r="K359" i="1"/>
  <c r="K358" i="1"/>
  <c r="K357" i="1"/>
  <c r="H358" i="1"/>
  <c r="H359" i="1"/>
  <c r="G367" i="1" l="1"/>
  <c r="G366" i="1"/>
  <c r="H366" i="1"/>
  <c r="H367" i="1" s="1"/>
  <c r="F366" i="1"/>
  <c r="F367" i="1" s="1"/>
  <c r="J358" i="1"/>
  <c r="J357" i="1"/>
  <c r="H357" i="1"/>
  <c r="G359" i="1"/>
  <c r="G358" i="1"/>
  <c r="G357" i="1"/>
  <c r="F358" i="1"/>
  <c r="F359" i="1"/>
  <c r="F357" i="1"/>
  <c r="G96" i="1"/>
  <c r="G98" i="1"/>
  <c r="G131" i="1"/>
  <c r="G95" i="1"/>
  <c r="G9" i="1"/>
  <c r="F40" i="2" l="1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C19" i="10" s="1"/>
  <c r="F16" i="13"/>
  <c r="G16" i="13"/>
  <c r="L208" i="1"/>
  <c r="C124" i="2" s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C109" i="2" s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25" i="1"/>
  <c r="L243" i="1"/>
  <c r="F17" i="13"/>
  <c r="D17" i="13" s="1"/>
  <c r="C17" i="13" s="1"/>
  <c r="G17" i="13"/>
  <c r="L250" i="1"/>
  <c r="F18" i="13"/>
  <c r="G18" i="13"/>
  <c r="L251" i="1"/>
  <c r="F19" i="13"/>
  <c r="G19" i="13"/>
  <c r="L252" i="1"/>
  <c r="C113" i="2" s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E111" i="2" s="1"/>
  <c r="L280" i="1"/>
  <c r="L281" i="1"/>
  <c r="L282" i="1"/>
  <c r="L283" i="1"/>
  <c r="E120" i="2" s="1"/>
  <c r="L284" i="1"/>
  <c r="L285" i="1"/>
  <c r="L286" i="1"/>
  <c r="L287" i="1"/>
  <c r="E124" i="2" s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E113" i="2" s="1"/>
  <c r="L259" i="1"/>
  <c r="C130" i="2" s="1"/>
  <c r="L260" i="1"/>
  <c r="L340" i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E55" i="2" s="1"/>
  <c r="I59" i="1"/>
  <c r="F78" i="1"/>
  <c r="F93" i="1"/>
  <c r="C57" i="2" s="1"/>
  <c r="F110" i="1"/>
  <c r="G110" i="1"/>
  <c r="H78" i="1"/>
  <c r="H93" i="1"/>
  <c r="E57" i="2" s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D84" i="2" s="1"/>
  <c r="G161" i="1"/>
  <c r="G168" i="1" s="1"/>
  <c r="H146" i="1"/>
  <c r="H161" i="1"/>
  <c r="H467" i="1" s="1"/>
  <c r="I146" i="1"/>
  <c r="I161" i="1"/>
  <c r="L249" i="1"/>
  <c r="L331" i="1"/>
  <c r="L253" i="1"/>
  <c r="C25" i="10"/>
  <c r="L267" i="1"/>
  <c r="L268" i="1"/>
  <c r="L348" i="1"/>
  <c r="L349" i="1"/>
  <c r="E142" i="2" s="1"/>
  <c r="I664" i="1"/>
  <c r="I669" i="1"/>
  <c r="I668" i="1"/>
  <c r="C42" i="10"/>
  <c r="C32" i="10"/>
  <c r="L373" i="1"/>
  <c r="L374" i="1"/>
  <c r="L375" i="1"/>
  <c r="L376" i="1"/>
  <c r="F129" i="2" s="1"/>
  <c r="L377" i="1"/>
  <c r="L378" i="1"/>
  <c r="L379" i="1"/>
  <c r="B2" i="10"/>
  <c r="L343" i="1"/>
  <c r="E133" i="2" s="1"/>
  <c r="L344" i="1"/>
  <c r="L345" i="1"/>
  <c r="E136" i="2" s="1"/>
  <c r="L346" i="1"/>
  <c r="K350" i="1"/>
  <c r="L520" i="1"/>
  <c r="F548" i="1" s="1"/>
  <c r="L521" i="1"/>
  <c r="F549" i="1" s="1"/>
  <c r="L522" i="1"/>
  <c r="F550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D11" i="2"/>
  <c r="E11" i="2"/>
  <c r="F11" i="2"/>
  <c r="I440" i="1"/>
  <c r="J12" i="1" s="1"/>
  <c r="G11" i="2" s="1"/>
  <c r="C12" i="2"/>
  <c r="D12" i="2"/>
  <c r="D18" i="2" s="1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E31" i="2" s="1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5" i="1"/>
  <c r="J43" i="1" s="1"/>
  <c r="G42" i="2" s="1"/>
  <c r="I456" i="1"/>
  <c r="J37" i="1" s="1"/>
  <c r="I458" i="1"/>
  <c r="J47" i="1" s="1"/>
  <c r="G46" i="2" s="1"/>
  <c r="C55" i="2"/>
  <c r="D55" i="2"/>
  <c r="F55" i="2"/>
  <c r="C56" i="2"/>
  <c r="E56" i="2"/>
  <c r="C58" i="2"/>
  <c r="D58" i="2"/>
  <c r="E58" i="2"/>
  <c r="F58" i="2"/>
  <c r="D59" i="2"/>
  <c r="C60" i="2"/>
  <c r="D60" i="2"/>
  <c r="E60" i="2"/>
  <c r="F60" i="2"/>
  <c r="F61" i="2" s="1"/>
  <c r="F62" i="2" s="1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E84" i="2"/>
  <c r="F84" i="2"/>
  <c r="F90" i="2" s="1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C102" i="2" s="1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2" i="2"/>
  <c r="E112" i="2"/>
  <c r="D114" i="2"/>
  <c r="F114" i="2"/>
  <c r="G114" i="2"/>
  <c r="E117" i="2"/>
  <c r="E118" i="2"/>
  <c r="E119" i="2"/>
  <c r="E121" i="2"/>
  <c r="E122" i="2"/>
  <c r="E123" i="2"/>
  <c r="F127" i="2"/>
  <c r="G127" i="2"/>
  <c r="E129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C141" i="2"/>
  <c r="E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G161" i="2" s="1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G19" i="1"/>
  <c r="H19" i="1"/>
  <c r="I19" i="1"/>
  <c r="F32" i="1"/>
  <c r="G32" i="1"/>
  <c r="H32" i="1"/>
  <c r="I32" i="1"/>
  <c r="H50" i="1"/>
  <c r="H51" i="1" s="1"/>
  <c r="H618" i="1" s="1"/>
  <c r="I50" i="1"/>
  <c r="I51" i="1" s="1"/>
  <c r="H619" i="1" s="1"/>
  <c r="F176" i="1"/>
  <c r="I176" i="1"/>
  <c r="F182" i="1"/>
  <c r="F191" i="1" s="1"/>
  <c r="G182" i="1"/>
  <c r="H182" i="1"/>
  <c r="I182" i="1"/>
  <c r="J182" i="1"/>
  <c r="J191" i="1" s="1"/>
  <c r="F187" i="1"/>
  <c r="G187" i="1"/>
  <c r="H187" i="1"/>
  <c r="I187" i="1"/>
  <c r="F210" i="1"/>
  <c r="G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L255" i="1" s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F433" i="1" s="1"/>
  <c r="G426" i="1"/>
  <c r="H426" i="1"/>
  <c r="I426" i="1"/>
  <c r="J426" i="1"/>
  <c r="J433" i="1" s="1"/>
  <c r="L428" i="1"/>
  <c r="L429" i="1"/>
  <c r="L430" i="1"/>
  <c r="L431" i="1"/>
  <c r="F432" i="1"/>
  <c r="G432" i="1"/>
  <c r="H432" i="1"/>
  <c r="I432" i="1"/>
  <c r="J432" i="1"/>
  <c r="F445" i="1"/>
  <c r="G445" i="1"/>
  <c r="G453" i="1" s="1"/>
  <c r="H445" i="1"/>
  <c r="F451" i="1"/>
  <c r="G451" i="1"/>
  <c r="H451" i="1"/>
  <c r="G459" i="1"/>
  <c r="H459" i="1"/>
  <c r="H460" i="1" s="1"/>
  <c r="H640" i="1" s="1"/>
  <c r="H469" i="1"/>
  <c r="I469" i="1"/>
  <c r="I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8" i="1"/>
  <c r="J618" i="1" s="1"/>
  <c r="G619" i="1"/>
  <c r="G624" i="1"/>
  <c r="H628" i="1"/>
  <c r="H629" i="1"/>
  <c r="H635" i="1"/>
  <c r="G639" i="1"/>
  <c r="G640" i="1"/>
  <c r="G642" i="1"/>
  <c r="G643" i="1"/>
  <c r="H643" i="1"/>
  <c r="G644" i="1"/>
  <c r="G649" i="1"/>
  <c r="G651" i="1"/>
  <c r="H651" i="1"/>
  <c r="G652" i="1"/>
  <c r="H652" i="1"/>
  <c r="J652" i="1" s="1"/>
  <c r="G653" i="1"/>
  <c r="H653" i="1"/>
  <c r="J653" i="1" s="1"/>
  <c r="H654" i="1"/>
  <c r="C26" i="10"/>
  <c r="F49" i="2"/>
  <c r="A40" i="12" l="1"/>
  <c r="A31" i="12"/>
  <c r="I433" i="1"/>
  <c r="H433" i="1"/>
  <c r="K433" i="1"/>
  <c r="G133" i="2" s="1"/>
  <c r="G143" i="2" s="1"/>
  <c r="C24" i="10"/>
  <c r="G623" i="1"/>
  <c r="I451" i="1"/>
  <c r="G433" i="1"/>
  <c r="G157" i="2"/>
  <c r="G156" i="2"/>
  <c r="E102" i="2"/>
  <c r="F102" i="2"/>
  <c r="E90" i="2"/>
  <c r="E103" i="2" s="1"/>
  <c r="E49" i="2"/>
  <c r="D31" i="2"/>
  <c r="L269" i="1"/>
  <c r="D19" i="13"/>
  <c r="C19" i="13" s="1"/>
  <c r="G661" i="1"/>
  <c r="G617" i="1"/>
  <c r="G40" i="1"/>
  <c r="L613" i="1"/>
  <c r="G460" i="1"/>
  <c r="H639" i="1" s="1"/>
  <c r="I191" i="1"/>
  <c r="G31" i="13"/>
  <c r="H661" i="1"/>
  <c r="G111" i="1"/>
  <c r="C90" i="2"/>
  <c r="G144" i="2"/>
  <c r="G61" i="2"/>
  <c r="G62" i="2" s="1"/>
  <c r="D18" i="13"/>
  <c r="C18" i="13" s="1"/>
  <c r="G570" i="1"/>
  <c r="F77" i="2"/>
  <c r="F80" i="2" s="1"/>
  <c r="G80" i="2"/>
  <c r="E61" i="2"/>
  <c r="E62" i="2" s="1"/>
  <c r="G162" i="2"/>
  <c r="K502" i="1"/>
  <c r="G163" i="2"/>
  <c r="G160" i="2"/>
  <c r="G158" i="2"/>
  <c r="G159" i="2"/>
  <c r="G155" i="2"/>
  <c r="G638" i="1"/>
  <c r="F453" i="1"/>
  <c r="I445" i="1"/>
  <c r="G641" i="1" s="1"/>
  <c r="G21" i="2"/>
  <c r="F12" i="1"/>
  <c r="C31" i="2"/>
  <c r="F18" i="2"/>
  <c r="F31" i="2"/>
  <c r="F50" i="2" s="1"/>
  <c r="J619" i="1"/>
  <c r="L538" i="1"/>
  <c r="L533" i="1"/>
  <c r="F544" i="1"/>
  <c r="L523" i="1"/>
  <c r="G102" i="2"/>
  <c r="C121" i="2"/>
  <c r="I662" i="1"/>
  <c r="C69" i="2"/>
  <c r="C77" i="2"/>
  <c r="C61" i="2"/>
  <c r="C62" i="2" s="1"/>
  <c r="I368" i="1"/>
  <c r="H633" i="1" s="1"/>
  <c r="J633" i="1" s="1"/>
  <c r="E13" i="13"/>
  <c r="C13" i="13" s="1"/>
  <c r="C111" i="2"/>
  <c r="G650" i="1"/>
  <c r="J650" i="1" s="1"/>
  <c r="J649" i="1"/>
  <c r="C17" i="10"/>
  <c r="C20" i="10"/>
  <c r="C18" i="10"/>
  <c r="C16" i="10"/>
  <c r="C15" i="10"/>
  <c r="C110" i="2"/>
  <c r="L246" i="1"/>
  <c r="C119" i="2"/>
  <c r="E8" i="13"/>
  <c r="C8" i="13" s="1"/>
  <c r="K256" i="1"/>
  <c r="K270" i="1" s="1"/>
  <c r="F256" i="1"/>
  <c r="F270" i="1" s="1"/>
  <c r="D14" i="13"/>
  <c r="C14" i="13" s="1"/>
  <c r="C122" i="2"/>
  <c r="C118" i="2"/>
  <c r="C117" i="2"/>
  <c r="C13" i="10"/>
  <c r="L228" i="1"/>
  <c r="C12" i="10"/>
  <c r="G256" i="1"/>
  <c r="G270" i="1" s="1"/>
  <c r="I256" i="1"/>
  <c r="I270" i="1" s="1"/>
  <c r="E18" i="2"/>
  <c r="D102" i="2"/>
  <c r="D90" i="2"/>
  <c r="E143" i="2"/>
  <c r="C120" i="2"/>
  <c r="D12" i="13"/>
  <c r="C12" i="13" s="1"/>
  <c r="D7" i="13"/>
  <c r="C7" i="13" s="1"/>
  <c r="D6" i="13"/>
  <c r="C6" i="13" s="1"/>
  <c r="C108" i="2"/>
  <c r="C10" i="10"/>
  <c r="E110" i="2"/>
  <c r="K337" i="1"/>
  <c r="K351" i="1" s="1"/>
  <c r="I337" i="1"/>
  <c r="I351" i="1" s="1"/>
  <c r="L327" i="1"/>
  <c r="E108" i="2"/>
  <c r="C11" i="10"/>
  <c r="A22" i="12"/>
  <c r="J337" i="1"/>
  <c r="J351" i="1" s="1"/>
  <c r="F31" i="13"/>
  <c r="L289" i="1"/>
  <c r="E109" i="2"/>
  <c r="L350" i="1"/>
  <c r="G33" i="13"/>
  <c r="H660" i="1"/>
  <c r="G660" i="1"/>
  <c r="L361" i="1"/>
  <c r="G471" i="1" s="1"/>
  <c r="D29" i="13"/>
  <c r="C29" i="13" s="1"/>
  <c r="F660" i="1"/>
  <c r="D126" i="2"/>
  <c r="D127" i="2" s="1"/>
  <c r="D144" i="2" s="1"/>
  <c r="J651" i="1"/>
  <c r="D61" i="2"/>
  <c r="D62" i="2" s="1"/>
  <c r="E77" i="2"/>
  <c r="E80" i="2" s="1"/>
  <c r="F103" i="2"/>
  <c r="L426" i="1"/>
  <c r="L433" i="1" s="1"/>
  <c r="J256" i="1"/>
  <c r="J270" i="1" s="1"/>
  <c r="H111" i="1"/>
  <c r="F111" i="1"/>
  <c r="J640" i="1"/>
  <c r="K604" i="1"/>
  <c r="G647" i="1" s="1"/>
  <c r="J570" i="1"/>
  <c r="K570" i="1"/>
  <c r="L432" i="1"/>
  <c r="L418" i="1"/>
  <c r="D80" i="2"/>
  <c r="I168" i="1"/>
  <c r="I192" i="1" s="1"/>
  <c r="G629" i="1" s="1"/>
  <c r="J629" i="1" s="1"/>
  <c r="H168" i="1"/>
  <c r="E50" i="2"/>
  <c r="J643" i="1"/>
  <c r="J642" i="1"/>
  <c r="I475" i="1"/>
  <c r="H624" i="1" s="1"/>
  <c r="J624" i="1" s="1"/>
  <c r="G337" i="1"/>
  <c r="G351" i="1" s="1"/>
  <c r="C23" i="10"/>
  <c r="F168" i="1"/>
  <c r="J139" i="1"/>
  <c r="F570" i="1"/>
  <c r="G12" i="2"/>
  <c r="G18" i="2" s="1"/>
  <c r="J19" i="1"/>
  <c r="G620" i="1" s="1"/>
  <c r="I551" i="1"/>
  <c r="K549" i="1"/>
  <c r="G22" i="2"/>
  <c r="J32" i="1"/>
  <c r="K597" i="1"/>
  <c r="G646" i="1" s="1"/>
  <c r="K544" i="1"/>
  <c r="J551" i="1"/>
  <c r="H551" i="1"/>
  <c r="C29" i="10"/>
  <c r="H139" i="1"/>
  <c r="L400" i="1"/>
  <c r="C138" i="2" s="1"/>
  <c r="L392" i="1"/>
  <c r="A13" i="12"/>
  <c r="F22" i="13"/>
  <c r="H25" i="13"/>
  <c r="J639" i="1"/>
  <c r="H570" i="1"/>
  <c r="L559" i="1"/>
  <c r="L336" i="1"/>
  <c r="H337" i="1"/>
  <c r="H351" i="1" s="1"/>
  <c r="F337" i="1"/>
  <c r="F351" i="1" s="1"/>
  <c r="G191" i="1"/>
  <c r="G192" i="1" s="1"/>
  <c r="H191" i="1"/>
  <c r="E127" i="2"/>
  <c r="F551" i="1"/>
  <c r="C35" i="10"/>
  <c r="L308" i="1"/>
  <c r="D5" i="13"/>
  <c r="E16" i="13"/>
  <c r="J654" i="1"/>
  <c r="J644" i="1"/>
  <c r="J192" i="1"/>
  <c r="L569" i="1"/>
  <c r="I570" i="1"/>
  <c r="I544" i="1"/>
  <c r="J635" i="1"/>
  <c r="G36" i="2"/>
  <c r="L564" i="1"/>
  <c r="G544" i="1"/>
  <c r="H544" i="1"/>
  <c r="K550" i="1"/>
  <c r="F143" i="2"/>
  <c r="F144" i="2" s="1"/>
  <c r="G103" i="2" l="1"/>
  <c r="G473" i="1"/>
  <c r="H634" i="1"/>
  <c r="D39" i="2"/>
  <c r="D49" i="2" s="1"/>
  <c r="D50" i="2" s="1"/>
  <c r="G50" i="1"/>
  <c r="C39" i="10"/>
  <c r="G627" i="1"/>
  <c r="G467" i="1"/>
  <c r="C114" i="2"/>
  <c r="C38" i="10"/>
  <c r="H192" i="1"/>
  <c r="G628" i="1" s="1"/>
  <c r="J628" i="1" s="1"/>
  <c r="G31" i="2"/>
  <c r="L570" i="1"/>
  <c r="G637" i="1"/>
  <c r="J471" i="1"/>
  <c r="I453" i="1"/>
  <c r="J468" i="1" s="1"/>
  <c r="F459" i="1"/>
  <c r="F460" i="1" s="1"/>
  <c r="H638" i="1" s="1"/>
  <c r="J638" i="1" s="1"/>
  <c r="F19" i="1"/>
  <c r="F49" i="1" s="1"/>
  <c r="C11" i="2"/>
  <c r="C18" i="2" s="1"/>
  <c r="C80" i="2"/>
  <c r="C103" i="2" s="1"/>
  <c r="F192" i="1"/>
  <c r="C36" i="10"/>
  <c r="C41" i="10" s="1"/>
  <c r="D39" i="10" s="1"/>
  <c r="H659" i="1"/>
  <c r="H663" i="1" s="1"/>
  <c r="H666" i="1" s="1"/>
  <c r="H647" i="1"/>
  <c r="J647" i="1" s="1"/>
  <c r="E114" i="2"/>
  <c r="E144" i="2" s="1"/>
  <c r="I660" i="1"/>
  <c r="C27" i="10"/>
  <c r="G634" i="1"/>
  <c r="D103" i="2"/>
  <c r="C5" i="13"/>
  <c r="C22" i="13"/>
  <c r="F33" i="13"/>
  <c r="C137" i="2"/>
  <c r="C140" i="2" s="1"/>
  <c r="C143" i="2" s="1"/>
  <c r="L407" i="1"/>
  <c r="J467" i="1" s="1"/>
  <c r="C16" i="13"/>
  <c r="E33" i="13"/>
  <c r="D35" i="13" s="1"/>
  <c r="G659" i="1"/>
  <c r="D31" i="13"/>
  <c r="C31" i="13" s="1"/>
  <c r="L337" i="1"/>
  <c r="L351" i="1" s="1"/>
  <c r="C25" i="13"/>
  <c r="H33" i="13"/>
  <c r="G630" i="1"/>
  <c r="G645" i="1"/>
  <c r="J627" i="1" l="1"/>
  <c r="J634" i="1"/>
  <c r="G469" i="1"/>
  <c r="G475" i="1" s="1"/>
  <c r="H622" i="1" s="1"/>
  <c r="J622" i="1" s="1"/>
  <c r="H627" i="1"/>
  <c r="G622" i="1"/>
  <c r="G51" i="1"/>
  <c r="H617" i="1" s="1"/>
  <c r="J617" i="1" s="1"/>
  <c r="J473" i="1"/>
  <c r="H637" i="1"/>
  <c r="J637" i="1"/>
  <c r="H630" i="1"/>
  <c r="J630" i="1" s="1"/>
  <c r="J469" i="1"/>
  <c r="J475" i="1" s="1"/>
  <c r="H625" i="1" s="1"/>
  <c r="H636" i="1"/>
  <c r="J48" i="1"/>
  <c r="I459" i="1"/>
  <c r="I460" i="1" s="1"/>
  <c r="H641" i="1" s="1"/>
  <c r="J641" i="1" s="1"/>
  <c r="G616" i="1"/>
  <c r="G626" i="1"/>
  <c r="F467" i="1"/>
  <c r="H671" i="1"/>
  <c r="C6" i="10" s="1"/>
  <c r="G632" i="1"/>
  <c r="H471" i="1"/>
  <c r="G636" i="1"/>
  <c r="H645" i="1"/>
  <c r="J645" i="1" s="1"/>
  <c r="G663" i="1"/>
  <c r="D37" i="10"/>
  <c r="D35" i="10"/>
  <c r="D40" i="10"/>
  <c r="D36" i="10"/>
  <c r="D38" i="10"/>
  <c r="J636" i="1" l="1"/>
  <c r="G47" i="2"/>
  <c r="G49" i="2" s="1"/>
  <c r="G50" i="2" s="1"/>
  <c r="J50" i="1"/>
  <c r="C48" i="2"/>
  <c r="C49" i="2" s="1"/>
  <c r="C50" i="2" s="1"/>
  <c r="F50" i="1"/>
  <c r="H626" i="1"/>
  <c r="J626" i="1" s="1"/>
  <c r="F469" i="1"/>
  <c r="H632" i="1"/>
  <c r="J632" i="1" s="1"/>
  <c r="H473" i="1"/>
  <c r="H475" i="1" s="1"/>
  <c r="H623" i="1" s="1"/>
  <c r="D41" i="10"/>
  <c r="G671" i="1"/>
  <c r="C5" i="10" s="1"/>
  <c r="G666" i="1"/>
  <c r="G625" i="1" l="1"/>
  <c r="J625" i="1" s="1"/>
  <c r="J51" i="1"/>
  <c r="H620" i="1" s="1"/>
  <c r="J620" i="1" s="1"/>
  <c r="F51" i="1"/>
  <c r="H616" i="1" s="1"/>
  <c r="J616" i="1" s="1"/>
  <c r="G621" i="1"/>
  <c r="J623" i="1"/>
  <c r="H210" i="1"/>
  <c r="H256" i="1" s="1"/>
  <c r="H270" i="1" s="1"/>
  <c r="L207" i="1"/>
  <c r="C21" i="10" s="1"/>
  <c r="F661" i="1" l="1"/>
  <c r="I661" i="1" s="1"/>
  <c r="C28" i="10"/>
  <c r="D21" i="10" s="1"/>
  <c r="C123" i="2"/>
  <c r="C127" i="2" s="1"/>
  <c r="C144" i="2" s="1"/>
  <c r="H646" i="1"/>
  <c r="J646" i="1" s="1"/>
  <c r="L210" i="1"/>
  <c r="G648" i="1"/>
  <c r="J648" i="1" s="1"/>
  <c r="D15" i="13"/>
  <c r="L256" i="1" l="1"/>
  <c r="L270" i="1" s="1"/>
  <c r="F659" i="1"/>
  <c r="C15" i="13"/>
  <c r="D33" i="13"/>
  <c r="D36" i="13" s="1"/>
  <c r="D24" i="10"/>
  <c r="D22" i="10"/>
  <c r="D23" i="10"/>
  <c r="D18" i="10"/>
  <c r="D11" i="10"/>
  <c r="D12" i="10"/>
  <c r="D16" i="10"/>
  <c r="D20" i="10"/>
  <c r="D13" i="10"/>
  <c r="D27" i="10"/>
  <c r="D26" i="10"/>
  <c r="D15" i="10"/>
  <c r="D10" i="10"/>
  <c r="D25" i="10"/>
  <c r="D17" i="10"/>
  <c r="C30" i="10"/>
  <c r="D19" i="10"/>
  <c r="G631" i="1" l="1"/>
  <c r="F471" i="1"/>
  <c r="D28" i="10"/>
  <c r="I659" i="1"/>
  <c r="I663" i="1" s="1"/>
  <c r="F663" i="1"/>
  <c r="F473" i="1" l="1"/>
  <c r="F475" i="1" s="1"/>
  <c r="H621" i="1" s="1"/>
  <c r="J621" i="1" s="1"/>
  <c r="H631" i="1"/>
  <c r="J631" i="1" s="1"/>
  <c r="I666" i="1"/>
  <c r="I671" i="1"/>
  <c r="C7" i="10" s="1"/>
  <c r="F666" i="1"/>
  <c r="F671" i="1"/>
  <c r="C4" i="10" s="1"/>
  <c r="H655" i="1" l="1"/>
  <c r="J528" i="1"/>
  <c r="J544" i="1" s="1"/>
  <c r="L525" i="1"/>
  <c r="L528" i="1" s="1"/>
  <c r="L544" i="1" s="1"/>
  <c r="G548" i="1" l="1"/>
  <c r="K548" i="1" s="1"/>
  <c r="K551" i="1" s="1"/>
  <c r="G551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<sst xmlns="http://schemas.openxmlformats.org/spreadsheetml/2006/main" count="3952" uniqueCount="919">
  <si>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</si>
  <si>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</si>
  <si>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</si>
  <si>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</si>
  <si>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</si>
  <si>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</si>
  <si>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</si>
  <si>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</si>
  <si>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</si>
  <si>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</si>
  <si>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</si>
  <si>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</si>
  <si>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</si>
  <si>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</si>
  <si>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</si>
  <si>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</si>
  <si>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</si>
  <si>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</si>
  <si>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</si>
  <si>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</si>
  <si>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</si>
  <si>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</si>
  <si>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</si>
  <si>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</si>
  <si>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</si>
  <si>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</si>
  <si>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</si>
  <si>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</si>
  <si>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</si>
  <si>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</si>
  <si>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</si>
  <si>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</si>
  <si>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</si>
  <si>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</si>
  <si>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</si>
  <si>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</si>
  <si>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</si>
  <si>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</si>
  <si>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</si>
  <si>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</si>
  <si>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</si>
  <si>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</si>
  <si>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</si>
  <si>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</si>
  <si>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</si>
  <si>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</si>
  <si>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</si>
  <si>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</si>
  <si>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</si>
  <si>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</si>
  <si>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</si>
  <si>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</si>
  <si>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</si>
  <si>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</si>
  <si>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</si>
  <si>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</si>
  <si>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</si>
  <si>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</si>
  <si>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</si>
  <si>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</si>
  <si>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</si>
  <si>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</si>
  <si>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</si>
  <si>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</si>
  <si>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</si>
  <si>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</si>
  <si>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</si>
  <si>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</si>
  <si>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</si>
  <si>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</si>
  <si>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</si>
  <si>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</si>
  <si>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</si>
  <si>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</si>
  <si>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</si>
  <si>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</si>
  <si>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</si>
  <si>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</si>
  <si>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</si>
  <si>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</si>
  <si>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</si>
  <si>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</si>
  <si>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</si>
  <si>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</si>
  <si>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</si>
  <si>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</si>
  <si>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</si>
  <si>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</si>
  <si>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</si>
  <si>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</si>
  <si>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</si>
  <si>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</si>
  <si>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</si>
  <si>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</si>
  <si>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</si>
  <si>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</si>
  <si>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</si>
  <si>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</si>
  <si>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</si>
  <si>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</si>
  <si>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</si>
  <si>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</si>
  <si>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</si>
  <si>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</si>
  <si>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</si>
  <si>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</si>
  <si>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</si>
  <si>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</si>
  <si>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</si>
  <si>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</si>
  <si>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</si>
  <si>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</si>
  <si>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</si>
  <si>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</si>
  <si>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</si>
  <si>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</si>
  <si>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</si>
  <si>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</si>
  <si>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</si>
  <si>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</si>
  <si>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</si>
  <si>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</si>
  <si>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</si>
  <si>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</si>
  <si>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</si>
  <si>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</si>
  <si>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</si>
  <si>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</si>
  <si>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</si>
  <si>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</si>
  <si>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</si>
  <si>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</si>
  <si>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</si>
  <si>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</si>
  <si>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</si>
  <si>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</si>
  <si>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</si>
  <si>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</si>
  <si>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</si>
  <si>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</si>
  <si>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</si>
  <si>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</si>
  <si>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</si>
  <si>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</si>
  <si>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</si>
  <si>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</si>
  <si>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</si>
  <si>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</si>
  <si>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</si>
  <si>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</si>
  <si>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</si>
  <si>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</si>
  <si>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</si>
  <si>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</si>
  <si>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</si>
  <si>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</si>
  <si>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</si>
  <si>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</si>
  <si>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</si>
  <si>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</si>
  <si>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</si>
  <si>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</si>
  <si>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</si>
  <si>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</si>
  <si>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</si>
  <si>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</si>
  <si>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</si>
  <si>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</si>
  <si>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</si>
  <si>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</si>
  <si>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</si>
  <si>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</si>
  <si>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</si>
  <si>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</si>
  <si>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</si>
  <si>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</si>
  <si>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</si>
  <si>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</si>
  <si>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</si>
  <si>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</si>
  <si>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</si>
  <si>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</si>
  <si>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</si>
  <si>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</si>
  <si>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</si>
  <si>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</si>
  <si>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</si>
  <si>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</si>
  <si>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</si>
  <si>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</si>
  <si>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</si>
  <si>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</si>
  <si>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</si>
  <si>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</si>
  <si>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</si>
  <si>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</si>
  <si>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</si>
  <si>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</si>
  <si>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</si>
  <si>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</si>
  <si>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</si>
  <si>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</si>
  <si>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</si>
  <si>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</si>
  <si>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</si>
  <si>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</si>
  <si>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</si>
  <si>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</si>
  <si>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</si>
  <si>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</si>
  <si>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</si>
  <si>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</si>
  <si>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</si>
  <si>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</si>
  <si>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</si>
  <si>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</si>
  <si>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</si>
  <si>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</si>
  <si>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</si>
  <si>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</si>
  <si>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</si>
  <si>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</si>
  <si>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</si>
  <si>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</si>
  <si>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</si>
  <si>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</si>
  <si>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</si>
  <si>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</si>
  <si>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</si>
  <si>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</si>
  <si>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</si>
  <si>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</si>
  <si>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</si>
  <si>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</si>
  <si>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</si>
  <si>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</si>
  <si>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</si>
  <si>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</si>
  <si>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</si>
  <si>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</si>
  <si>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</si>
  <si>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</si>
  <si>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</si>
  <si>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</si>
  <si>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</si>
  <si>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</si>
  <si>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</si>
  <si>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</si>
  <si>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</si>
  <si>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</si>
  <si>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</si>
  <si>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</si>
  <si>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</si>
  <si>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</si>
  <si>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</si>
  <si>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</si>
  <si>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</si>
  <si>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</si>
  <si>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</si>
  <si>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</si>
  <si>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</si>
  <si>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</si>
  <si>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</si>
  <si>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</si>
  <si>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</si>
  <si>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</si>
  <si>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</si>
  <si>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</si>
  <si>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</si>
  <si>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</si>
  <si>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</si>
  <si>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</si>
  <si>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</si>
  <si>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</si>
  <si>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</si>
  <si>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</si>
  <si>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</si>
  <si>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</si>
  <si>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</si>
  <si>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</si>
  <si>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</si>
  <si>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</si>
  <si>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</si>
  <si>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</si>
  <si>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</si>
  <si>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</si>
  <si>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</si>
  <si>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</si>
  <si>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</si>
  <si>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</si>
  <si>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</si>
  <si>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</si>
  <si>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</si>
  <si>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</si>
  <si>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</si>
  <si>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</si>
  <si>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</si>
  <si>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</si>
  <si>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</si>
  <si>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</si>
  <si>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</si>
  <si>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</si>
  <si>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</si>
  <si>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</si>
  <si>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</si>
  <si>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</si>
  <si>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</si>
  <si>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</si>
  <si>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</si>
  <si>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</si>
  <si>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</si>
  <si>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</si>
  <si>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</si>
  <si>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</si>
  <si>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</si>
  <si>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</si>
  <si>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</si>
  <si>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</si>
  <si>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</si>
  <si>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</si>
  <si>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</si>
  <si>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</si>
  <si>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</si>
  <si>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</si>
  <si>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</si>
  <si>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</si>
  <si>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</si>
  <si>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</si>
  <si>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</si>
  <si>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</si>
  <si>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</si>
  <si>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</si>
  <si>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</si>
  <si>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</si>
  <si>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</si>
  <si>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</si>
  <si>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</si>
  <si>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</si>
  <si>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</si>
  <si>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</si>
  <si>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</si>
  <si>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</si>
  <si>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</si>
  <si>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</si>
  <si>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</si>
  <si>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</si>
  <si>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</si>
  <si>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</si>
  <si>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</si>
  <si>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</si>
  <si>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</si>
  <si>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</si>
  <si>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</si>
  <si>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</si>
  <si>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</si>
  <si>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</si>
  <si>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</si>
  <si>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</si>
  <si>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</si>
  <si>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</si>
  <si>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</si>
  <si>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</si>
  <si>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</si>
  <si>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</si>
  <si>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</si>
  <si>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</si>
  <si>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</si>
  <si>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</si>
  <si>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</si>
  <si>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</si>
  <si>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</si>
  <si>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</si>
  <si>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</si>
  <si>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</si>
  <si>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</si>
  <si>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</si>
  <si>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</si>
  <si>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</si>
  <si>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</si>
  <si>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</si>
  <si>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</si>
  <si>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</si>
  <si>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</si>
  <si>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</si>
  <si>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</si>
  <si>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</si>
  <si>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</si>
  <si>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</si>
  <si>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</si>
  <si>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</si>
  <si>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</si>
  <si>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</si>
  <si>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</si>
  <si>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</si>
  <si>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</si>
  <si>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</si>
  <si>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</si>
  <si>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</si>
  <si>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</si>
  <si>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</si>
  <si>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</si>
  <si>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</si>
  <si>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</si>
  <si>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</si>
  <si>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</si>
  <si>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</si>
  <si>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</si>
  <si>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</si>
  <si>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</si>
  <si>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</si>
  <si>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</si>
  <si>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</si>
  <si>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</si>
  <si>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</si>
  <si>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</si>
  <si>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</si>
  <si>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</si>
  <si>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</si>
  <si>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</si>
  <si>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</si>
  <si>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</si>
  <si>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</si>
  <si>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</si>
  <si>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</si>
  <si>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</si>
  <si>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</si>
  <si>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</si>
  <si>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</si>
  <si>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</si>
  <si>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</si>
  <si>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</si>
  <si>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</si>
  <si>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</si>
  <si>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</si>
  <si>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</si>
  <si>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</si>
  <si>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</si>
  <si>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</si>
  <si>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</si>
  <si>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</si>
  <si>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</si>
  <si>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</si>
  <si>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</si>
  <si>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</si>
  <si>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</si>
  <si>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</si>
  <si>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</si>
  <si>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</si>
  <si>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</si>
  <si>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</si>
  <si>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</si>
  <si>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</si>
  <si>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</si>
  <si>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</si>
  <si>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</si>
  <si>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</si>
  <si>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</si>
  <si>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</si>
  <si>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</si>
  <si>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</si>
  <si>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</si>
  <si>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</si>
  <si>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</si>
  <si>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</si>
  <si>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</si>
  <si>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</si>
  <si>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</si>
  <si>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</si>
  <si>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</si>
  <si>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</si>
  <si>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</si>
  <si>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</si>
  <si>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</si>
  <si>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</si>
  <si>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</si>
  <si>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</si>
  <si>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</si>
  <si>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</si>
  <si>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</si>
  <si>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</si>
  <si>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</si>
  <si>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</si>
  <si>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</si>
  <si>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</si>
  <si>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</si>
  <si>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</si>
  <si>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</si>
  <si>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</si>
  <si>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</si>
  <si>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</si>
  <si>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</si>
  <si>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</si>
  <si>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</si>
  <si>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</si>
  <si>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</si>
  <si>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</si>
  <si>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</si>
  <si>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</si>
  <si>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</si>
  <si>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</si>
  <si>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</si>
  <si>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</si>
  <si>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</si>
  <si>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</si>
  <si>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</si>
  <si>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</si>
  <si>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</si>
  <si>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</si>
  <si>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</si>
  <si>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</si>
  <si>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</si>
  <si>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</si>
  <si>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</si>
  <si>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</si>
  <si>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</si>
  <si>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</si>
  <si>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</si>
  <si>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</si>
  <si>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</si>
  <si>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</si>
  <si>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</si>
  <si>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</si>
  <si>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</si>
  <si>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</si>
  <si>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</si>
  <si>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</si>
  <si>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</si>
  <si>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</si>
  <si>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</si>
  <si>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</si>
  <si>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</si>
  <si>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</si>
  <si>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</si>
  <si>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</si>
  <si>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</si>
  <si>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</si>
  <si>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</si>
  <si>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</si>
  <si>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</si>
  <si>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</si>
  <si>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</si>
  <si>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</si>
  <si>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</si>
  <si>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</si>
  <si>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</si>
  <si>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</si>
  <si>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</si>
  <si>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</si>
  <si>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</si>
  <si>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</si>
  <si>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</si>
  <si>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</si>
  <si>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</si>
  <si>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</si>
  <si>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</si>
  <si>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</si>
  <si>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</si>
  <si>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</si>
  <si>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</si>
  <si>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</si>
  <si>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</si>
  <si>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</si>
  <si>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</si>
  <si>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</si>
  <si>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</si>
  <si>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</si>
  <si>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</si>
  <si>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</si>
  <si>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</si>
  <si>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</si>
  <si>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</si>
  <si>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</si>
  <si>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</si>
  <si>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</si>
  <si>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</si>
  <si>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</si>
  <si>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</si>
  <si>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</si>
  <si>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</si>
  <si>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</si>
  <si>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</si>
  <si>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</si>
  <si>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</si>
  <si>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</si>
  <si>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</si>
  <si>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</si>
  <si>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</si>
  <si>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</si>
  <si>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</si>
  <si>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</si>
  <si>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</si>
  <si>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</si>
  <si>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</si>
  <si>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</si>
  <si>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</si>
  <si>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</si>
  <si>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</si>
  <si>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</si>
  <si>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</si>
  <si>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</si>
  <si>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</si>
  <si>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</si>
  <si>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</si>
  <si>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</si>
  <si>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</si>
  <si>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</si>
  <si>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</si>
  <si>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</si>
  <si>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</si>
  <si>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</si>
  <si>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</si>
  <si>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</si>
  <si>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</si>
  <si>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</si>
  <si>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</si>
  <si>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</si>
  <si>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</si>
  <si>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</si>
  <si>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</si>
  <si>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</si>
  <si>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</si>
  <si>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</si>
  <si>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</si>
  <si>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</si>
  <si>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</si>
  <si>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</si>
  <si>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</si>
  <si>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</si>
  <si>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</si>
  <si>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</si>
  <si>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</si>
  <si>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</si>
  <si>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</si>
  <si>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</si>
  <si>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</si>
  <si>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</si>
  <si>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</si>
  <si>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</si>
  <si>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</si>
  <si>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</si>
  <si>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</si>
  <si>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</si>
  <si>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</si>
  <si>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</si>
  <si>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</si>
  <si>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</si>
  <si>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</si>
  <si>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</si>
  <si>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</si>
  <si>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</si>
  <si>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</si>
  <si>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</si>
  <si>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</si>
  <si>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</si>
  <si>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</si>
  <si>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</si>
  <si>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</si>
  <si>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</si>
  <si>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</si>
  <si>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</si>
  <si>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</si>
  <si>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</si>
  <si>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</si>
  <si>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</si>
  <si>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</si>
  <si>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</si>
  <si>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</si>
  <si>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</si>
  <si>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</si>
  <si>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</si>
  <si>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</si>
  <si>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</si>
  <si>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</si>
  <si>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</si>
  <si>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</si>
  <si>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</si>
  <si>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</si>
  <si>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</si>
  <si>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</si>
  <si>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</si>
  <si>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</si>
  <si>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</si>
  <si>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</si>
  <si>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</si>
  <si>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</si>
  <si>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</si>
  <si>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</si>
  <si>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</si>
  <si>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</si>
  <si>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</si>
  <si>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</si>
  <si>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</si>
  <si>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</si>
  <si>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</si>
  <si>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</si>
  <si>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</si>
  <si>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</si>
  <si>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</si>
  <si>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</si>
  <si>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</si>
  <si>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</si>
  <si>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</si>
  <si>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</si>
  <si>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</si>
  <si>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</si>
  <si>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</si>
  <si>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</si>
  <si>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</si>
  <si>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</si>
  <si>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</si>
  <si>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</si>
  <si>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</si>
  <si>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</si>
  <si>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</si>
  <si>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</si>
  <si>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</si>
  <si>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</si>
  <si>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</si>
  <si>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</si>
  <si>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</si>
  <si>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</si>
  <si>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</si>
  <si>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</si>
  <si>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</si>
  <si>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</si>
  <si>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</si>
  <si>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</si>
  <si>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</si>
  <si>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</si>
  <si>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</si>
  <si>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</si>
  <si>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</si>
  <si>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</si>
  <si>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</si>
  <si>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</si>
  <si>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</si>
  <si>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</si>
  <si>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</si>
  <si>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</si>
  <si>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</si>
  <si>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</si>
  <si>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</si>
  <si>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</si>
  <si>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</si>
  <si>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</si>
  <si>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</si>
  <si>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</si>
  <si>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</si>
  <si>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</si>
  <si>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</si>
  <si>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</si>
  <si>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</si>
  <si>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</si>
  <si>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</si>
  <si>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</si>
  <si>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</si>
  <si>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</si>
  <si>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</si>
  <si>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</si>
  <si>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</si>
  <si>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</si>
  <si>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</si>
  <si>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</si>
  <si>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</si>
  <si>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</si>
  <si>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</si>
  <si>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</si>
  <si>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</si>
  <si>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</si>
  <si>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</si>
  <si>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</si>
  <si>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</si>
  <si>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</si>
  <si>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</si>
  <si>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</si>
  <si>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</si>
  <si>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</si>
  <si>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</si>
  <si>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</si>
  <si>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</si>
  <si>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</si>
  <si>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</si>
  <si>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</si>
  <si>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</si>
  <si>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</si>
  <si>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</si>
  <si>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</si>
  <si>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</si>
  <si>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</si>
  <si>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</si>
  <si>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</si>
  <si>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</si>
  <si>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</si>
  <si>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</si>
  <si>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</si>
  <si>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</si>
  <si>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</si>
  <si>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</si>
  <si>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</si>
  <si>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</si>
  <si>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</si>
  <si>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</si>
  <si>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</si>
  <si>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</si>
  <si>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</si>
  <si>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</si>
  <si>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</si>
  <si>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</si>
  <si>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</si>
  <si>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</si>
  <si>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</si>
  <si>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</si>
  <si>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</si>
  <si>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</si>
  <si>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</si>
  <si>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</si>
  <si>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</si>
  <si>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</si>
  <si>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</si>
  <si>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</si>
  <si>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</si>
  <si>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</si>
  <si>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</si>
  <si>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</si>
  <si>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</si>
  <si>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</si>
  <si>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</si>
  <si>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</si>
  <si>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</si>
  <si>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</si>
  <si>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</si>
  <si>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</si>
  <si>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</si>
  <si>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</si>
  <si>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</si>
  <si>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</si>
  <si>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</si>
  <si>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</si>
  <si>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</si>
  <si>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</si>
  <si>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</si>
  <si>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</si>
  <si>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</si>
  <si>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</si>
  <si>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</si>
  <si>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</si>
  <si>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</si>
  <si>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</si>
  <si>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</si>
  <si>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</si>
  <si>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</si>
  <si>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</si>
  <si>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</si>
  <si>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</si>
  <si>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</si>
  <si>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</si>
  <si>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</si>
  <si>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</si>
  <si>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</si>
  <si>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</si>
  <si>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</si>
  <si>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</si>
  <si>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</si>
  <si>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</si>
  <si>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</si>
  <si>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</si>
  <si>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</si>
  <si>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</si>
  <si>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</si>
  <si>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</si>
  <si>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</si>
  <si>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</si>
  <si>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</si>
  <si>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</si>
  <si>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</si>
  <si>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</si>
  <si>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</si>
  <si>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</si>
  <si>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</si>
  <si>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</si>
  <si>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</si>
  <si>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</si>
  <si>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</si>
  <si>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</si>
  <si>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</si>
  <si>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</si>
  <si>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</si>
  <si>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</si>
  <si>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</si>
  <si>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</si>
  <si>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</si>
  <si>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</si>
  <si>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</si>
  <si>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</si>
  <si>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</si>
  <si>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</si>
  <si>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</si>
  <si>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</si>
  <si>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</si>
  <si>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</si>
  <si>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</si>
  <si>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</si>
  <si>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</si>
  <si>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</si>
  <si>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</si>
  <si>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</si>
  <si>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</si>
  <si>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</si>
  <si>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</si>
  <si>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Amount voted by Board to continue ATC appropriation</t>
  </si>
  <si>
    <t>Includes parent paid preschool</t>
  </si>
  <si>
    <t>Stale checks from prior years and ComCast revenue</t>
  </si>
  <si>
    <t>Bennington overpayment of Assessment</t>
  </si>
  <si>
    <t>Special Revenue Fund</t>
  </si>
  <si>
    <t>03/2002</t>
  </si>
  <si>
    <t>10/1998</t>
  </si>
  <si>
    <t>07/12</t>
  </si>
  <si>
    <t>10/2012</t>
  </si>
  <si>
    <t>Con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</si>
</sst>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918</v>
      </c>
      <c r="B2" s="21">
        <v>112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1027578.39+6940</f>
        <v>1034518.39</v>
      </c>
      <c r="G9" s="18">
        <f>79688.68+1500+1421</f>
        <v>82609.679999999993</v>
      </c>
      <c r="H9" s="18"/>
      <c r="I9" s="18">
        <v>100000</v>
      </c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5811.82</f>
        <v>5811.82</v>
      </c>
      <c r="G10" s="18"/>
      <c r="H10" s="18"/>
      <c r="I10" s="18"/>
      <c r="J10" s="67">
        <f>SUM(I439)</f>
        <v>382863.16000000003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G22+H22+I22+J22</f>
        <v>882237.86</v>
      </c>
      <c r="G12" s="18"/>
      <c r="H12" s="18"/>
      <c r="I12" s="18"/>
      <c r="J12" s="67">
        <f>SUM(I440)</f>
        <v>450000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94102</f>
        <v>94102</v>
      </c>
      <c r="G13" s="18">
        <v>60724.25</v>
      </c>
      <c r="H13" s="18">
        <f>228688.04</f>
        <v>228688.04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252865.52-94102</f>
        <v>158763.51999999999</v>
      </c>
      <c r="G14" s="18">
        <v>34784.04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32453.17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138630.58</f>
        <v>138630.57999999999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2314064.17</v>
      </c>
      <c r="G19" s="41">
        <f>SUM(G9:G18)</f>
        <v>210571.14</v>
      </c>
      <c r="H19" s="41">
        <f>SUM(H9:H18)</f>
        <v>228688.04</v>
      </c>
      <c r="I19" s="41">
        <f>SUM(I9:I18)</f>
        <v>100000</v>
      </c>
      <c r="J19" s="41">
        <f>SUM(J9:J18)</f>
        <v>832863.16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200000+250000</f>
        <v>450000</v>
      </c>
      <c r="G22" s="18">
        <v>301594.43</v>
      </c>
      <c r="H22" s="18">
        <f>228688.04</f>
        <v>228688.04</v>
      </c>
      <c r="I22" s="18">
        <v>100000</v>
      </c>
      <c r="J22" s="67">
        <f>SUM(I447)</f>
        <v>251955.39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324443.2</f>
        <v>324443.2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f>31044</f>
        <v>31044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805487.2</v>
      </c>
      <c r="G32" s="41">
        <f>SUM(G22:G31)</f>
        <v>301594.43</v>
      </c>
      <c r="H32" s="41">
        <f>SUM(H22:H31)</f>
        <v>228688.04</v>
      </c>
      <c r="I32" s="41">
        <f>SUM(I22:I31)</f>
        <v>100000</v>
      </c>
      <c r="J32" s="41">
        <f>SUM(J22:J31)</f>
        <v>251955.39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32453.17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f>F17</f>
        <v>138630.57999999999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f>G19-G22-G35</f>
        <v>-123476.45999999998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>
        <f>57859.66</f>
        <v>57859.66</v>
      </c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f>100000+100000</f>
        <v>200000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f>359576.87-105305.24</f>
        <v>254271.63</v>
      </c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741255.95</v>
      </c>
      <c r="G48" s="18"/>
      <c r="H48" s="18"/>
      <c r="I48" s="18"/>
      <c r="J48" s="13">
        <f>I453</f>
        <v>580907.77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F19-F32-F36-F43-F44-F47-F48</f>
        <v>116559.15000000002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1508576.9699999997</v>
      </c>
      <c r="G50" s="41">
        <f>SUM(G35:G49)</f>
        <v>-91023.289999999979</v>
      </c>
      <c r="H50" s="41">
        <f>SUM(H35:H49)</f>
        <v>0</v>
      </c>
      <c r="I50" s="41">
        <f>SUM(I35:I49)</f>
        <v>0</v>
      </c>
      <c r="J50" s="41">
        <f>SUM(J35:J49)</f>
        <v>580907.77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2314064.17</v>
      </c>
      <c r="G51" s="41">
        <f>G50+G32</f>
        <v>210571.14</v>
      </c>
      <c r="H51" s="41">
        <f>H50+H32</f>
        <v>228688.04</v>
      </c>
      <c r="I51" s="41">
        <f>I50+I32</f>
        <v>100000</v>
      </c>
      <c r="J51" s="41">
        <f>J50+J32</f>
        <v>832863.16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24408409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24408409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22765.31+30323.88</f>
        <v>53089.19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219422.21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40661.89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313173.29000000004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7924.02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7924.02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10699.81</f>
        <v>10699.81</v>
      </c>
      <c r="G95" s="18">
        <f>239.39</f>
        <v>239.39</v>
      </c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625583.08+2506.65+27771.61</f>
        <v>655861.34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37110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>
        <f>38112.15</f>
        <v>38112.15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22578.91+25000</f>
        <v>47578.91</v>
      </c>
      <c r="G109" s="18">
        <v>1064.03</v>
      </c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95388.72</v>
      </c>
      <c r="G110" s="41">
        <f>SUM(G95:G109)</f>
        <v>695276.91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24824895.029999997</v>
      </c>
      <c r="G111" s="41">
        <f>G59+G110</f>
        <v>695276.91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8852218.1400000006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5166621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7669.86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14026509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1480586.55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462547.08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37949.67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2029.24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77224.11+27796.67</f>
        <v>105020.78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1983112.54</v>
      </c>
      <c r="G135" s="41">
        <f>SUM(G122:G134)</f>
        <v>105020.78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16009621.539999999</v>
      </c>
      <c r="G139" s="41">
        <f>G120+SUM(G135:G136)</f>
        <v>105020.78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>
        <f>28011.15+2089.31+211627.21+8228.28-11193.3+560971.54</f>
        <v>799734.19000000006</v>
      </c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20545.51+7235.66+20001.4+487645.71+4000+65000</f>
        <v>604428.28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302575.76+116099.69+75416.42</f>
        <v>494091.87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f>4613.65+104093.43</f>
        <v>108707.07999999999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f>13757</f>
        <v>13757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273496.86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f>277876.29</f>
        <v>277876.28999999998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277876.28999999998</v>
      </c>
      <c r="G161" s="41">
        <f>SUM(G149:G160)</f>
        <v>273496.86</v>
      </c>
      <c r="H161" s="41">
        <f>SUM(H149:H160)</f>
        <v>2020718.4200000004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277876.28999999998</v>
      </c>
      <c r="G168" s="41">
        <f>G146+G161+SUM(G162:G167)</f>
        <v>273496.86</v>
      </c>
      <c r="H168" s="41">
        <f>H146+H161+SUM(H162:H167)</f>
        <v>2020718.4200000004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276313.21999999997</v>
      </c>
      <c r="H178" s="18"/>
      <c r="I178" s="18"/>
      <c r="J178" s="18">
        <f>250000+200000-251955.39-48044.61</f>
        <v>150000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276313.21999999997</v>
      </c>
      <c r="H182" s="41">
        <f>SUM(H178:H181)</f>
        <v>0</v>
      </c>
      <c r="I182" s="41">
        <f>SUM(I178:I181)</f>
        <v>0</v>
      </c>
      <c r="J182" s="41">
        <f>SUM(J178:J181)</f>
        <v>150000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276313.21999999997</v>
      </c>
      <c r="H191" s="41">
        <f>+H182+SUM(H187:H190)</f>
        <v>0</v>
      </c>
      <c r="I191" s="41">
        <f>I176+I182+SUM(I187:I190)</f>
        <v>0</v>
      </c>
      <c r="J191" s="41">
        <f>J182</f>
        <v>150000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41112392.859999992</v>
      </c>
      <c r="G192" s="47">
        <f>G111+G139+G168+G191</f>
        <v>1350107.77</v>
      </c>
      <c r="H192" s="47">
        <f>H111+H139+H168+H191</f>
        <v>2020718.4200000004</v>
      </c>
      <c r="I192" s="47">
        <f>I111+I139+I168+I191</f>
        <v>0</v>
      </c>
      <c r="J192" s="47">
        <f>J111+J139+J191</f>
        <v>150000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2521699.83+108055.86+33961.95+8343+0.3*(177384.65+71268.29+350847.95)</f>
        <v>2851910.9070000001</v>
      </c>
      <c r="G196" s="18">
        <f>F196*0.51+0.3*297868.08</f>
        <v>1543834.9865700002</v>
      </c>
      <c r="H196" s="18">
        <f>3608.61+45564.72+295.9+1559.41+14144+1615.24+(0.3*19840.5)+0.3*22758.91+4191.93+0.3*18539.04</f>
        <v>89321.345000000001</v>
      </c>
      <c r="I196" s="18">
        <f>137569.71+4525.02+2272.44+51.77+5929.98+3895.74</f>
        <v>154244.65999999997</v>
      </c>
      <c r="J196" s="18">
        <f>46.94+12736.06+314.41+4937.22+47679.91+0.3*59346.51</f>
        <v>83518.493000000017</v>
      </c>
      <c r="K196" s="18">
        <f>250</f>
        <v>250</v>
      </c>
      <c r="L196" s="19">
        <f>SUM(F196:K196)</f>
        <v>4723080.39157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614218.28+430052.07+0.3*55654.16+0.5*313933.79+0.3*117994.94+0.3*198621.08+0.3*369399.87+0.3*264666-20551</f>
        <v>1482587.06</v>
      </c>
      <c r="G197" s="18">
        <f>F197*0.51-4380.21</f>
        <v>751739.19060000009</v>
      </c>
      <c r="H197" s="18">
        <f>19452.16+21011.52+9900+11395.68+27988.13+150+150+0.3*97944.64</f>
        <v>119430.88200000001</v>
      </c>
      <c r="I197" s="18">
        <f>5577.69+470.98+339.84+691.27+0.3*34333.62+0.3*12686.73+2020.74</f>
        <v>23206.625000000004</v>
      </c>
      <c r="J197" s="18">
        <f>434.44+296.64+1469.08+2650.04</f>
        <v>4850.2</v>
      </c>
      <c r="K197" s="18">
        <f>0.3*10130.97+0.3*660</f>
        <v>3237.2909999999997</v>
      </c>
      <c r="L197" s="19">
        <f>SUM(F197:K197)</f>
        <v>2385051.2486000005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>
        <f>F198*0.5</f>
        <v>0</v>
      </c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9750</f>
        <v>9750</v>
      </c>
      <c r="G199" s="18">
        <f>F199*0.5</f>
        <v>4875</v>
      </c>
      <c r="H199" s="18">
        <f>3674</f>
        <v>3674</v>
      </c>
      <c r="I199" s="18">
        <f>1959.08</f>
        <v>1959.08</v>
      </c>
      <c r="J199" s="18"/>
      <c r="K199" s="18"/>
      <c r="L199" s="19">
        <f>SUM(F199:K199)</f>
        <v>20258.080000000002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131799.85+187178.5+0.3*212319.72</f>
        <v>382674.26599999995</v>
      </c>
      <c r="G201" s="18">
        <f>F201*0.51</f>
        <v>195163.87565999996</v>
      </c>
      <c r="H201" s="18">
        <f>793.91+(0.3*28687.5)+0.3*40303.39+0.3*41271.2</f>
        <v>33872.536999999997</v>
      </c>
      <c r="I201" s="18">
        <f>531.65+194.41+3271.14+85.2+79+155+965.81</f>
        <v>5282.2099999999991</v>
      </c>
      <c r="J201" s="18">
        <f>15090.52</f>
        <v>15090.52</v>
      </c>
      <c r="K201" s="18"/>
      <c r="L201" s="19">
        <f t="shared" ref="L201:L207" si="0">SUM(F201:K201)</f>
        <v>632083.40865999996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145404.6+114852.73+0.3*75051.8+0.3*59261.61+0.34*198621.08</f>
        <v>368082.52020000003</v>
      </c>
      <c r="G202" s="18">
        <f>F202*0.51</f>
        <v>187722.08530200002</v>
      </c>
      <c r="H202" s="18">
        <f>1206+1488.68+214+0.34*40464.35+0.3*125049.95+0.3*49999.33</f>
        <v>69181.342999999993</v>
      </c>
      <c r="I202" s="18">
        <f>1056.91+13237.01+1636.62+398.67+1471.25+442.66</f>
        <v>18243.12</v>
      </c>
      <c r="J202" s="18">
        <f>230.1+6834.78</f>
        <v>7064.88</v>
      </c>
      <c r="K202" s="18">
        <f>436</f>
        <v>436</v>
      </c>
      <c r="L202" s="19">
        <f t="shared" si="0"/>
        <v>650729.94850200007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0.3*771347.18+0.3*253609.97+0.3*253609.97</f>
        <v>383570.136</v>
      </c>
      <c r="G203" s="18">
        <f>0.3*355509.63</f>
        <v>106652.889</v>
      </c>
      <c r="H203" s="18">
        <f>0.3*158359.11+0.3*22809.52+0.3*24948.43+0.3*10666.37+0.3*61720.95+0.3*181168.63</f>
        <v>137901.90299999999</v>
      </c>
      <c r="I203" s="18">
        <f>0.3*78105.97+0.3*65348.48</f>
        <v>43036.335000000006</v>
      </c>
      <c r="J203" s="18"/>
      <c r="K203" s="18">
        <f>0.3*12075.17+0.3*11326.91</f>
        <v>7020.6239999999998</v>
      </c>
      <c r="L203" s="19">
        <f t="shared" si="0"/>
        <v>678181.88699999999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264043.27+380473.87-143862.92</f>
        <v>500654.22</v>
      </c>
      <c r="G204" s="18">
        <f>F204*0.51</f>
        <v>255333.65219999998</v>
      </c>
      <c r="H204" s="18">
        <f>181+32314.7+1958.33+330+2425.69+0.3*20007</f>
        <v>43211.82</v>
      </c>
      <c r="I204" s="18">
        <f>1668.21+461.05+481+4044</f>
        <v>6654.26</v>
      </c>
      <c r="J204" s="18">
        <f>1996.95</f>
        <v>1996.95</v>
      </c>
      <c r="K204" s="18">
        <f>5906.45+3668.18</f>
        <v>9574.6299999999992</v>
      </c>
      <c r="L204" s="19">
        <f t="shared" si="0"/>
        <v>817425.5321999999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52126.31+2195.77+0.3*314709.19+0.3*32281.8+1167.88</f>
        <v>159587.25700000001</v>
      </c>
      <c r="G206" s="18">
        <f>F206*0.51</f>
        <v>81389.501070000013</v>
      </c>
      <c r="H206" s="18">
        <f>298119.65+8238.21+20183.64+3444.88+153609.94+31390.65+25622.82+34323.5+25232.03+1401.12+0.3*297463.66+0.3*11647.15-119412+0.3*297463.76-0.3*168859.08+0.36*121556.29</f>
        <v>657229.35140000004</v>
      </c>
      <c r="I206" s="18">
        <f>34804.36+142297.28+172099.65+0.3*6758.3+0.34*276812.31-5855.76</f>
        <v>439489.20540000004</v>
      </c>
      <c r="J206" s="18">
        <f>70408.68*0.3</f>
        <v>21122.603999999996</v>
      </c>
      <c r="K206" s="18"/>
      <c r="L206" s="19">
        <f t="shared" si="0"/>
        <v>1358817.9188700002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671580.28</f>
        <v>671580.28</v>
      </c>
      <c r="I207" s="18"/>
      <c r="J207" s="18"/>
      <c r="K207" s="18"/>
      <c r="L207" s="19">
        <f t="shared" si="0"/>
        <v>671580.28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6138816.3662</v>
      </c>
      <c r="G210" s="41">
        <f t="shared" si="1"/>
        <v>3126711.180402</v>
      </c>
      <c r="H210" s="41">
        <f t="shared" si="1"/>
        <v>1825403.4614000001</v>
      </c>
      <c r="I210" s="41">
        <f t="shared" si="1"/>
        <v>692115.49540000001</v>
      </c>
      <c r="J210" s="41">
        <f t="shared" si="1"/>
        <v>133643.64700000003</v>
      </c>
      <c r="K210" s="41">
        <f t="shared" si="1"/>
        <v>20518.544999999998</v>
      </c>
      <c r="L210" s="41">
        <f t="shared" si="1"/>
        <v>11937208.695402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2844859.6+39482.66+79310+0.3*(177384.65+350847.95+71268)</f>
        <v>3143502.4400000004</v>
      </c>
      <c r="G214" s="18">
        <f>F214*0.51-119240.27+83409.31+0.34*297868.08</f>
        <v>1668630.4316000002</v>
      </c>
      <c r="H214" s="18">
        <f>6728.53+41695.5+(0.3*19840.5)+2918.41+(0.35*28687.5)+0.34*22758.91+0.34*18539.04</f>
        <v>81376.517999999996</v>
      </c>
      <c r="I214" s="4">
        <f>92897.69+14687.41+2091.2+450+13664.72+606.8+230.4</f>
        <v>124628.22</v>
      </c>
      <c r="J214" s="18">
        <f>31655.07+454.44+19468.2+22690.72+0.3*59346.51</f>
        <v>92072.383000000002</v>
      </c>
      <c r="K214" s="18">
        <f>923+3491.88</f>
        <v>4414.88</v>
      </c>
      <c r="L214" s="19">
        <f>SUM(F214:K214)</f>
        <v>5114624.8726000004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398611.5+353715.25+42866.64+0.34*55654.18+0.5*313933.79+0.34*117994.94+0.36*198621.08+0.34*369399.87+0.34*264666</f>
        <v>1298286.9704</v>
      </c>
      <c r="G215" s="18">
        <f>F215*0.51</f>
        <v>662126.35490399995</v>
      </c>
      <c r="H215" s="18">
        <f>82030.99+73166.49+44337.91+14693.77+899.82+21231.44+0.36*97944.64</f>
        <v>271620.49040000001</v>
      </c>
      <c r="I215" s="18">
        <f>928.2+798.08+175.77+498.66+1950.88+0.34*34333.82+0.34*12686.73+1735.7</f>
        <v>22074.277000000002</v>
      </c>
      <c r="J215" s="18">
        <f>271.54</f>
        <v>271.54000000000002</v>
      </c>
      <c r="K215" s="18">
        <f>58.75+0.34*10130.97+0.34*660</f>
        <v>3727.6798000000003</v>
      </c>
      <c r="L215" s="19">
        <f>SUM(F215:K215)</f>
        <v>2258107.312504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f>112092.57+96928</f>
        <v>209020.57</v>
      </c>
      <c r="G216" s="18">
        <f>F216*0.51</f>
        <v>106600.49070000001</v>
      </c>
      <c r="H216" s="18">
        <f>440.6+483.3+1576.85+173.15</f>
        <v>2673.9</v>
      </c>
      <c r="I216" s="18">
        <f>5783.49+200+6815.13</f>
        <v>12798.619999999999</v>
      </c>
      <c r="J216" s="18">
        <f>808.11+4883.1</f>
        <v>5691.21</v>
      </c>
      <c r="K216" s="18"/>
      <c r="L216" s="19">
        <f>SUM(F216:K216)</f>
        <v>336784.79070000007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107780</f>
        <v>107780</v>
      </c>
      <c r="G217" s="18">
        <f>F217*0.51</f>
        <v>54967.8</v>
      </c>
      <c r="H217" s="18">
        <f>15085+262.08</f>
        <v>15347.08</v>
      </c>
      <c r="I217" s="18">
        <f>15693.06</f>
        <v>15693.06</v>
      </c>
      <c r="J217" s="18">
        <f>6263.64</f>
        <v>6263.64</v>
      </c>
      <c r="K217" s="18">
        <f>7579+990.1</f>
        <v>8569.1</v>
      </c>
      <c r="L217" s="19">
        <f>SUM(F217:K217)</f>
        <v>208620.68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155038.5+117545.96+0.3*212319.72</f>
        <v>336280.37600000005</v>
      </c>
      <c r="G219" s="18">
        <f>F219*0.51</f>
        <v>171502.99176000003</v>
      </c>
      <c r="H219" s="18">
        <f>175.18+146.05+434+300+0.34*40303.39+0.34*28687.5+0.34*41271.2</f>
        <v>38544.340600000003</v>
      </c>
      <c r="I219" s="18">
        <f>2508.22</f>
        <v>2508.2199999999998</v>
      </c>
      <c r="J219" s="18">
        <f>214.75</f>
        <v>214.75</v>
      </c>
      <c r="K219" s="18"/>
      <c r="L219" s="19">
        <f t="shared" ref="L219:L225" si="2">SUM(F219:K219)</f>
        <v>549050.67836000002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106830.5+0.36*75051.6+0.3*59261.61</f>
        <v>151627.55900000001</v>
      </c>
      <c r="G220" s="18">
        <f>F220*0.51</f>
        <v>77330.055090000009</v>
      </c>
      <c r="H220" s="18">
        <f>750+509+213.62+47626.4+0.34*40464.35+0.34*125049.95+0.34*49999.33</f>
        <v>122373.65420000002</v>
      </c>
      <c r="I220" s="18">
        <f>1363.03+14980.83+1606.25+590.42+3127.94+1242.7</f>
        <v>22911.17</v>
      </c>
      <c r="J220" s="18">
        <f>1206.7</f>
        <v>1206.7</v>
      </c>
      <c r="K220" s="18"/>
      <c r="L220" s="19">
        <f t="shared" si="2"/>
        <v>375449.13829000003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0.34*771347.18+0.34*253609.97+0.34*253609.97</f>
        <v>434712.82080000004</v>
      </c>
      <c r="G221" s="18">
        <f>0.34*355509.63</f>
        <v>120873.27420000001</v>
      </c>
      <c r="H221" s="18">
        <f>0.34*158359.11+0.34*22809.52+0.34*24948.43+0.34*10666.37+0.34*61720.95+0.34*181168.63+0.34*20007</f>
        <v>163091.2034</v>
      </c>
      <c r="I221" s="18">
        <f>0.34*78105.97+0.34*65348.48</f>
        <v>48774.513000000006</v>
      </c>
      <c r="J221" s="18"/>
      <c r="K221" s="18">
        <f>0.34*12075.17+0.34*11326.91</f>
        <v>7956.7072000000007</v>
      </c>
      <c r="L221" s="19">
        <f t="shared" si="2"/>
        <v>775408.51860000007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130427.24+269901.25+17206.51</f>
        <v>417535</v>
      </c>
      <c r="G222" s="18">
        <f>F222*0.51</f>
        <v>212942.85</v>
      </c>
      <c r="H222" s="18">
        <f>12366.64+5222.82+2280.3+1385.82</f>
        <v>21255.579999999998</v>
      </c>
      <c r="I222" s="18">
        <f>1784.57+1404.39</f>
        <v>3188.96</v>
      </c>
      <c r="J222" s="18">
        <f>4669.8</f>
        <v>4669.8</v>
      </c>
      <c r="K222" s="18">
        <f>5142.9+12651.08</f>
        <v>17793.98</v>
      </c>
      <c r="L222" s="19">
        <f t="shared" si="2"/>
        <v>677386.16999999993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270431.84+3724.45+0.34*314709.19+0.34*32281.6</f>
        <v>392133.15860000002</v>
      </c>
      <c r="G224" s="18">
        <f>F224*0.51</f>
        <v>199987.91088600003</v>
      </c>
      <c r="H224" s="18">
        <f>37767.75+13959.85+14480.74+92336.35+32088.5+34149.02+22021.27+19824.02+39043.84+7237.25+0.34*297463.66+5000+0.34*11647.15+0.34*297463.76-0.34*168859.08+0.34*121556.29</f>
        <v>508060.9952</v>
      </c>
      <c r="I224" s="18">
        <f>29793.37+125915.32+5150.4+78290.92+0.34*6758.3+0.36*276812.31</f>
        <v>341100.26360000001</v>
      </c>
      <c r="J224" s="18">
        <f>0.34*70408.68</f>
        <v>23938.9512</v>
      </c>
      <c r="K224" s="18"/>
      <c r="L224" s="19">
        <f t="shared" si="2"/>
        <v>1465221.2794860001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675144.09</f>
        <v>675144.09</v>
      </c>
      <c r="I225" s="18"/>
      <c r="J225" s="18"/>
      <c r="K225" s="18"/>
      <c r="L225" s="19">
        <f t="shared" si="2"/>
        <v>675144.09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6490878.8948000008</v>
      </c>
      <c r="G228" s="41">
        <f>SUM(G214:G227)</f>
        <v>3274962.1591400001</v>
      </c>
      <c r="H228" s="41">
        <f>SUM(H214:H227)</f>
        <v>1899487.8517999998</v>
      </c>
      <c r="I228" s="41">
        <f>SUM(I214:I227)</f>
        <v>593677.30359999998</v>
      </c>
      <c r="J228" s="41">
        <f>SUM(J214:J227)</f>
        <v>134328.9742</v>
      </c>
      <c r="K228" s="41">
        <f t="shared" si="3"/>
        <v>42462.347000000002</v>
      </c>
      <c r="L228" s="41">
        <f t="shared" si="3"/>
        <v>12435797.530539999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2293157.88+74707.62+41300.99+44583.55+0.3*(177384.65+71268.29+350847.95)-20551</f>
        <v>2613049.307</v>
      </c>
      <c r="G232" s="18">
        <f>F232*0.51+0.36*297868.08</f>
        <v>1439887.6553700001</v>
      </c>
      <c r="H232" s="18">
        <f>23398+30765.73+2206+664.22+(0.3*19840.5)+0.35*28687.5+0.36*22758.91+0.36*18539.04</f>
        <v>87893.986999999994</v>
      </c>
      <c r="I232" s="18">
        <f>76063.96+221.64+22213.29+646.49+1091.57+12628.75</f>
        <v>112865.70000000003</v>
      </c>
      <c r="J232" s="18">
        <f>8655.79+72585.69+9646.22+14879.04+5404.01+0.3*59346.51</f>
        <v>128974.70300000001</v>
      </c>
      <c r="K232" s="18">
        <f>2000</f>
        <v>2000</v>
      </c>
      <c r="L232" s="19">
        <f>SUM(F232:K232)</f>
        <v>4384671.3523699995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326701.25+181204.59+23512.5+69664+291794.24+290738.83+0.36*55654.18+0.36*117994.94+0.36*369399.87+0.36*264666</f>
        <v>1474392.8063999999</v>
      </c>
      <c r="G233" s="18">
        <f>F233*0.51</f>
        <v>751940.33126399992</v>
      </c>
      <c r="H233" s="18">
        <f>6864+75944.64+138996.2+265729.12+43345.44+150346.71+4395.64+33482.9+7869.66+12710.43+8919.6+41251.8+22369.62+4620+3798.56+52467.61+116598.16+1100+26000+389.08+850.74+1580.7+6691.52+28270+0.36*97944.64</f>
        <v>1089852.2004000002</v>
      </c>
      <c r="I233" s="18">
        <f>1371.04+787.62+324.5+3321.32+547.39+190.65+269.85+0.36*34333.82+0.36*12686.73</f>
        <v>23739.768</v>
      </c>
      <c r="J233" s="18">
        <f>2066.66</f>
        <v>2066.66</v>
      </c>
      <c r="K233" s="18">
        <f>0.36*10130.97+0.36*660</f>
        <v>3884.7491999999997</v>
      </c>
      <c r="L233" s="19">
        <f>SUM(F233:K233)</f>
        <v>3345876.5152640003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39944.56+53751+152874.5+51746+48094+57449.5+50573+60522</f>
        <v>514954.56</v>
      </c>
      <c r="G234" s="18">
        <f>F234*0.51</f>
        <v>262626.82559999998</v>
      </c>
      <c r="H234" s="18">
        <v>3704.69</v>
      </c>
      <c r="I234" s="18">
        <f>2027.18+8433.31+3880.96+1592.78+386.61+383.78+1784.74+152.59+1131.35+742.5+3399.72+199.7+1607.76</f>
        <v>25722.980000000003</v>
      </c>
      <c r="J234" s="18">
        <f>1599.99+65</f>
        <v>1664.99</v>
      </c>
      <c r="K234" s="18"/>
      <c r="L234" s="19">
        <f>SUM(F234:K234)</f>
        <v>808674.04559999984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26111.86+70370.78+217260.57</f>
        <v>313743.21000000002</v>
      </c>
      <c r="G235" s="18">
        <f>F235*0.51</f>
        <v>160009.03710000002</v>
      </c>
      <c r="H235" s="18">
        <f>93059.98+6692.43+13567.41</f>
        <v>113319.82</v>
      </c>
      <c r="I235" s="18">
        <f>24485.26</f>
        <v>24485.26</v>
      </c>
      <c r="J235" s="18">
        <f>22656.03+16786.4</f>
        <v>39442.43</v>
      </c>
      <c r="K235" s="18">
        <f>47235.9+17868.48</f>
        <v>65104.380000000005</v>
      </c>
      <c r="L235" s="19">
        <f>SUM(F235:K235)</f>
        <v>716104.13710000017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259409.62+63566.33+87271.49+9903.77+48344+26011.56+0.39*212319.72</f>
        <v>577311.4608</v>
      </c>
      <c r="G237" s="18">
        <f>F237*0.51</f>
        <v>294428.84500800003</v>
      </c>
      <c r="H237" s="18">
        <f>3000+956.17+8911+0.36*40303.39+0.36*28687.5+0.36*41271.2</f>
        <v>52561.522400000002</v>
      </c>
      <c r="I237" s="18">
        <f>787.36+188.65+21+2540.96+228.83</f>
        <v>3766.8</v>
      </c>
      <c r="J237" s="18">
        <f>919</f>
        <v>919</v>
      </c>
      <c r="K237" s="18">
        <f>8283.5</f>
        <v>8283.5</v>
      </c>
      <c r="L237" s="19">
        <f t="shared" ref="L237:L243" si="4">SUM(F237:K237)</f>
        <v>937271.1282080001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45840.95+24519.35+0.34*75051.6+0.3*59261.61</f>
        <v>113656.32699999999</v>
      </c>
      <c r="G238" s="18">
        <f>F238*0.51</f>
        <v>57964.726769999994</v>
      </c>
      <c r="H238" s="18">
        <f>2533.27+0.36*40464.35+0.36*125049.95+0.36*49999.33</f>
        <v>80118.176799999987</v>
      </c>
      <c r="I238" s="18">
        <f>1953.39+17629.08+9146.24+376.65</f>
        <v>29105.360000000001</v>
      </c>
      <c r="J238" s="18">
        <f>1044.23</f>
        <v>1044.23</v>
      </c>
      <c r="K238" s="18"/>
      <c r="L238" s="19">
        <f t="shared" si="4"/>
        <v>281888.82056999998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2565.65+0.36*771347.18+0.36*253609.97+0.36*253609.97</f>
        <v>462849.81320000003</v>
      </c>
      <c r="G239" s="18">
        <f>0.36*355509.63</f>
        <v>127983.46679999999</v>
      </c>
      <c r="H239" s="18">
        <f>0.36*158359.11+0.36*22809.52+0.36*24948.43+0.36*10666.37+0.36*61720.95+0.36*181168.63+0.36*20007</f>
        <v>172684.80359999998</v>
      </c>
      <c r="I239" s="18">
        <f>0.34*78105.97+0.36*65348.48</f>
        <v>50081.482600000003</v>
      </c>
      <c r="J239" s="18"/>
      <c r="K239" s="18">
        <f>0.36*12075.17+0.36*11326.91</f>
        <v>8424.7487999999994</v>
      </c>
      <c r="L239" s="19">
        <f t="shared" si="4"/>
        <v>822024.31499999994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46977.56+94400.49+262109.79+5482.67+21657.6+80486.27+88260.7</f>
        <v>599375.07999999996</v>
      </c>
      <c r="G240" s="18">
        <f>F240*0.51</f>
        <v>305681.29079999996</v>
      </c>
      <c r="H240" s="18">
        <f>4435.83+26999.11+9300+659.88+24769.35+38773.2</f>
        <v>104937.37</v>
      </c>
      <c r="I240" s="18">
        <f>3311.59+4027.96+169.9</f>
        <v>7509.45</v>
      </c>
      <c r="J240" s="18">
        <f>5934.65</f>
        <v>5934.65</v>
      </c>
      <c r="K240" s="18">
        <f>7307.11+17182.4+128.42</f>
        <v>24617.93</v>
      </c>
      <c r="L240" s="19">
        <f t="shared" si="4"/>
        <v>1048055.7707999999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208180.81+7154.43+78047.16+5163.14+0.36*314709.19+16217.44+0.34*32281.6</f>
        <v>439034.03240000003</v>
      </c>
      <c r="G242" s="18">
        <f>F242*0.51</f>
        <v>223907.356524</v>
      </c>
      <c r="H242" s="18">
        <f>31084.38+21159.64+27165.47+30616.08+57380.3+29520.13+28003.89+1020+14050.5+50897.96+15058.98+0.36*297463.66+0.36*11647.15+0.36*297463.76-0.36*168859.08+0.3*121556.29</f>
        <v>500001.79339999997</v>
      </c>
      <c r="I242" s="18">
        <f>35497.14+168098.1+8339.42+108864.15+734.69+0.36*6758.3+0.3*276812.31+11711.52</f>
        <v>418721.701</v>
      </c>
      <c r="J242" s="18">
        <f>256+217.95+0.36*70408.68+537.59</f>
        <v>26358.664799999999</v>
      </c>
      <c r="K242" s="18"/>
      <c r="L242" s="19">
        <f t="shared" si="4"/>
        <v>1608023.548124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627098.45</f>
        <v>627098.44999999995</v>
      </c>
      <c r="I243" s="18"/>
      <c r="J243" s="18"/>
      <c r="K243" s="18"/>
      <c r="L243" s="19">
        <f t="shared" si="4"/>
        <v>627098.44999999995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f>13245.27</f>
        <v>13245.27</v>
      </c>
      <c r="I244" s="18"/>
      <c r="J244" s="18"/>
      <c r="K244" s="18"/>
      <c r="L244" s="19">
        <f>SUM(F244:K244)</f>
        <v>13245.27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7108366.5967999995</v>
      </c>
      <c r="G246" s="41">
        <f t="shared" si="5"/>
        <v>3624429.5352360005</v>
      </c>
      <c r="H246" s="41">
        <f t="shared" si="5"/>
        <v>2845418.0836</v>
      </c>
      <c r="I246" s="41">
        <f t="shared" si="5"/>
        <v>695998.50160000008</v>
      </c>
      <c r="J246" s="41">
        <f t="shared" si="5"/>
        <v>206405.3278</v>
      </c>
      <c r="K246" s="41">
        <f t="shared" si="5"/>
        <v>112315.30800000002</v>
      </c>
      <c r="L246" s="41">
        <f t="shared" si="5"/>
        <v>14592933.353035998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19738061.857799999</v>
      </c>
      <c r="G256" s="41">
        <f t="shared" si="8"/>
        <v>10026102.874778001</v>
      </c>
      <c r="H256" s="41">
        <f t="shared" si="8"/>
        <v>6570309.3968000002</v>
      </c>
      <c r="I256" s="41">
        <f t="shared" si="8"/>
        <v>1981791.3006000002</v>
      </c>
      <c r="J256" s="41">
        <f t="shared" si="8"/>
        <v>474377.94900000002</v>
      </c>
      <c r="K256" s="41">
        <f t="shared" si="8"/>
        <v>175296.2</v>
      </c>
      <c r="L256" s="41">
        <f t="shared" si="8"/>
        <v>38965939.578978002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1519966.97</f>
        <v>1519966.97</v>
      </c>
      <c r="L259" s="19">
        <f>SUM(F259:K259)</f>
        <v>1519966.97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562351.29</f>
        <v>562351.29</v>
      </c>
      <c r="L260" s="19">
        <f>SUM(F260:K260)</f>
        <v>562351.29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276313.21999999997</v>
      </c>
      <c r="L262" s="19">
        <f>SUM(F262:K262)</f>
        <v>276313.21999999997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f>250000+200000-251955.39-48044.61</f>
        <v>150000</v>
      </c>
      <c r="L265" s="19">
        <f t="shared" si="9"/>
        <v>150000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2508631.48</v>
      </c>
      <c r="L269" s="41">
        <f t="shared" si="9"/>
        <v>2508631.48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19738061.857799999</v>
      </c>
      <c r="G270" s="42">
        <f t="shared" si="11"/>
        <v>10026102.874778001</v>
      </c>
      <c r="H270" s="42">
        <f t="shared" si="11"/>
        <v>6570309.3968000002</v>
      </c>
      <c r="I270" s="42">
        <f t="shared" si="11"/>
        <v>1981791.3006000002</v>
      </c>
      <c r="J270" s="42">
        <f t="shared" si="11"/>
        <v>474377.94900000002</v>
      </c>
      <c r="K270" s="42">
        <f t="shared" si="11"/>
        <v>2683927.6800000002</v>
      </c>
      <c r="L270" s="42">
        <f t="shared" si="11"/>
        <v>41474571.058977999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4309.5+5054.44+109.16+5742.28+2580.85+7129.46+300+(0.3*16233.88)+78619.67+72051.14+46221.21+132320.27+5000+56073.53+61391.49+65000</f>
        <v>546773.16399999999</v>
      </c>
      <c r="G275" s="18">
        <f>319.95+473.01+192.73+14.7+535.5+630-10.61+377.79+458.44+21.13+5.08+13.98+17.98+12.06+439.28+516.81+4776.6+374.35+233.55+282.94+204.53+2418.13+22.36+548.66+657.11+27977.71+797.5+113.4+134.58+4902.7+10518.43+8764.39+854.46+121.5+180.98+6592.88+9738.51+504.79+569.64+81+116.85+4256.57+2287.49+2953.93+1424.1+202.5+11123.85+13584.2+10.5+382.5+565+949.2+162+168.59+0.5*5535.5+0.5*9007.91+45642.66+949.2+243+128.62+4290.15+5011.89</f>
        <v>187113.03500000003</v>
      </c>
      <c r="H275" s="18">
        <f>4326.81+1958.75+57061.76+(0.3*8500)+1450+0.3*8176.69+7080.85+346.29+0.3*4000+49518.07+0.3*8140</f>
        <v>130387.53700000001</v>
      </c>
      <c r="I275" s="18">
        <f>203.52+9.1+1.04+0.25+50+217.56-0.82+7.19+18.67+142+50+35.92+50+96.81+48.41+100+57.8</f>
        <v>1087.45</v>
      </c>
      <c r="J275" s="18"/>
      <c r="K275" s="18">
        <f>13.65+49.97+6.32+200+193.9+195.92+268.64+335.52</f>
        <v>1263.92</v>
      </c>
      <c r="L275" s="19">
        <f>SUM(F275:K275)</f>
        <v>866625.10600000003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6627.79+413.12+2371.24+72.5+79715.18+21741.2+41421.8+47339.2+38675.2+0.3*20000</f>
        <v>244377.22999999998</v>
      </c>
      <c r="G276" s="18">
        <f>366.79+531.55+144.53+118.56+10.95-(0.3*10879.24)+(0.3*33306.84)+0.5*5535.5+0.5*9007.91+1663.2+19984.08+569.64+45.66+81+1913.23+3168.77+7401.6+569.64+86.99+81+3621.45+19984.08+569.64+99.41+81+5349.33+2958.65+19984.08+569.64+81.22+81+4370.3</f>
        <v>108486.97500000001</v>
      </c>
      <c r="H276" s="18">
        <f>(0.3*53760)+(0.3*9144)+0.3*25796</f>
        <v>26610</v>
      </c>
      <c r="I276" s="18">
        <f>2089.31+51129.76+1325+1796.2+1600</f>
        <v>57940.27</v>
      </c>
      <c r="J276" s="18">
        <f>7216+(0.3*6986)+(0.3*10878.1)+282.91</f>
        <v>12858.14</v>
      </c>
      <c r="K276" s="18">
        <f>0.34*6360.5</f>
        <v>2162.5700000000002</v>
      </c>
      <c r="L276" s="19">
        <f>SUM(F276:K276)</f>
        <v>452435.185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>
        <f>14.7+23.45-0.01+0.1</f>
        <v>38.24</v>
      </c>
      <c r="H280" s="18"/>
      <c r="I280" s="18"/>
      <c r="J280" s="18"/>
      <c r="K280" s="18">
        <f>949.84</f>
        <v>949.84</v>
      </c>
      <c r="L280" s="19">
        <f t="shared" ref="L280:L286" si="12">SUM(F280:K280)</f>
        <v>988.08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f>24000+1100</f>
        <v>25100</v>
      </c>
      <c r="I281" s="18"/>
      <c r="J281" s="18"/>
      <c r="K281" s="18"/>
      <c r="L281" s="19">
        <f t="shared" si="12"/>
        <v>25100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f>0.34*3451.2</f>
        <v>1173.4080000000001</v>
      </c>
      <c r="I282" s="18"/>
      <c r="J282" s="18"/>
      <c r="K282" s="18"/>
      <c r="L282" s="19">
        <f t="shared" si="12"/>
        <v>1173.4080000000001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f>0.34*9500</f>
        <v>3230.0000000000005</v>
      </c>
      <c r="I286" s="18"/>
      <c r="J286" s="18"/>
      <c r="K286" s="18"/>
      <c r="L286" s="19">
        <f t="shared" si="12"/>
        <v>3230.0000000000005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791150.39399999997</v>
      </c>
      <c r="G289" s="42">
        <f t="shared" si="13"/>
        <v>295638.25</v>
      </c>
      <c r="H289" s="42">
        <f t="shared" si="13"/>
        <v>186500.94500000001</v>
      </c>
      <c r="I289" s="42">
        <f t="shared" si="13"/>
        <v>59027.719999999994</v>
      </c>
      <c r="J289" s="42">
        <f t="shared" si="13"/>
        <v>12858.14</v>
      </c>
      <c r="K289" s="42">
        <f t="shared" si="13"/>
        <v>4376.33</v>
      </c>
      <c r="L289" s="41">
        <f t="shared" si="13"/>
        <v>1349551.7790000001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0.3*16233.88</f>
        <v>4870.1639999999998</v>
      </c>
      <c r="G294" s="18">
        <f>0.5*1241.86+379.17+0.5*1570.14</f>
        <v>1785.17</v>
      </c>
      <c r="H294" s="18">
        <f>0.3*8500+1300+1000+0.3*8176.69+0.3*4000+12665.9+247.97+1874.64+0.3*8140</f>
        <v>25733.517</v>
      </c>
      <c r="I294" s="18">
        <f>283.93</f>
        <v>283.93</v>
      </c>
      <c r="J294" s="18"/>
      <c r="K294" s="18"/>
      <c r="L294" s="19">
        <f>SUM(F294:K294)</f>
        <v>32672.780999999999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4462.5+6810.05+2112.26+21741.2+39466.5+0.3*20000+11834.8</f>
        <v>92427.310000000012</v>
      </c>
      <c r="G295" s="18">
        <f>241.57+404.75+520.97+617.67+413.12+4867.94+95.19+87.5+106.22+31.55+37.86-5948.63+0.2+275.4+238.31+161.62+169.55-(0.3*10879.24)+192.4+118.31+(0.3*33306.84)+1663.2+19984.08+569.64+45.66+81+1913.23+3019.19+19984.08+569.64+82.88+81+4459.7+905.36+3996.81+113.92+24.85+16.2+1337.33</f>
        <v>68207.55</v>
      </c>
      <c r="H295" s="18">
        <f>10125+(0.3*53760)+5878.25+(0.3*9144)+442.5+0.3*25796</f>
        <v>43055.75</v>
      </c>
      <c r="I295" s="18">
        <f>1500+1600+7992+4925+(0.5*4645.2)</f>
        <v>18339.599999999999</v>
      </c>
      <c r="J295" s="18">
        <f>3776+(0.3*6986)+(0.3*10878.1)</f>
        <v>9135.23</v>
      </c>
      <c r="K295" s="18">
        <f>0.33*6360.5</f>
        <v>2098.9650000000001</v>
      </c>
      <c r="L295" s="19">
        <f>SUM(F295:K295)</f>
        <v>233264.40500000003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>
        <f>0.34*3451.2</f>
        <v>1173.4080000000001</v>
      </c>
      <c r="I301" s="18"/>
      <c r="J301" s="18"/>
      <c r="K301" s="18"/>
      <c r="L301" s="19">
        <f t="shared" si="14"/>
        <v>1173.4080000000001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f>0.34*9500</f>
        <v>3230.0000000000005</v>
      </c>
      <c r="I305" s="18"/>
      <c r="J305" s="18"/>
      <c r="K305" s="18"/>
      <c r="L305" s="19">
        <f t="shared" si="14"/>
        <v>3230.0000000000005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97297.474000000017</v>
      </c>
      <c r="G308" s="42">
        <f t="shared" si="15"/>
        <v>69992.72</v>
      </c>
      <c r="H308" s="42">
        <f t="shared" si="15"/>
        <v>73192.674999999988</v>
      </c>
      <c r="I308" s="42">
        <f t="shared" si="15"/>
        <v>18623.53</v>
      </c>
      <c r="J308" s="42">
        <f t="shared" si="15"/>
        <v>9135.23</v>
      </c>
      <c r="K308" s="42">
        <f t="shared" si="15"/>
        <v>2098.9650000000001</v>
      </c>
      <c r="L308" s="41">
        <f t="shared" si="15"/>
        <v>270340.59400000004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0.3*16233.88</f>
        <v>4870.1639999999998</v>
      </c>
      <c r="G313" s="18">
        <f>0.5*1241.86+0.5*1510.14</f>
        <v>1376</v>
      </c>
      <c r="H313" s="18">
        <f>14855.76-627+400+0.3*8176.69+0.3*4000+0.3*8140+0.95</f>
        <v>20724.717000000001</v>
      </c>
      <c r="I313" s="18"/>
      <c r="J313" s="18"/>
      <c r="K313" s="18"/>
      <c r="L313" s="19">
        <f>SUM(F313:K313)</f>
        <v>26970.881000000001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4462.5+2400+4243.2+33625+36844+0.3*20000</f>
        <v>87574.7</v>
      </c>
      <c r="G314" s="18">
        <f>267.72+241.57+357.91+3060.48+90.93+87.5+72.76+0.14+0.04+5.04+183.6+217.68+8.91+324.61+384.61+453.69+262.5+260.64+7.93-7.71-(0.3*10879.24)+(0.3*33306.84)+2572.31+7401.6+69.64+70.61+81+3799.63+2818.57+19984.08+569.64+77.37+81+4163.37</f>
        <v>54697.650000000009</v>
      </c>
      <c r="H314" s="18">
        <f>1287.44+(0.3*53760)+800+4691.52+414.74-7344.5+(0.3*9144)+0.3*25796</f>
        <v>26459.200000000001</v>
      </c>
      <c r="I314" s="18">
        <f>3053.24+914.77-85+170+1479.34+150+1500+1069.49+(0.5*4645.2)</f>
        <v>10574.44</v>
      </c>
      <c r="J314" s="18">
        <f>(0.3*6986)+(0.3*10878.1)</f>
        <v>5359.23</v>
      </c>
      <c r="K314" s="18"/>
      <c r="L314" s="19">
        <f>SUM(F314:K314)</f>
        <v>184665.22000000003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>
        <f>128.29+2883.46+1551.79+1418.11+4218+816.07</f>
        <v>11015.72</v>
      </c>
      <c r="I315" s="18">
        <f>1485</f>
        <v>1485</v>
      </c>
      <c r="J315" s="18">
        <f>5469+1898+899+2064.09+6167.13+420.79+7481.7+51713.38+6621.88</f>
        <v>82734.97</v>
      </c>
      <c r="K315" s="18">
        <f>1350+2098.96</f>
        <v>3448.96</v>
      </c>
      <c r="L315" s="19">
        <f>SUM(F315:K315)</f>
        <v>98684.650000000009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f>981.63+810</f>
        <v>1791.63</v>
      </c>
      <c r="I318" s="18"/>
      <c r="J318" s="18"/>
      <c r="K318" s="18">
        <f>4193</f>
        <v>4193</v>
      </c>
      <c r="L318" s="19">
        <f t="shared" ref="L318:L324" si="16">SUM(F318:K318)</f>
        <v>5984.63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>
        <f>0.32*3451.2</f>
        <v>1104.384</v>
      </c>
      <c r="I320" s="18"/>
      <c r="J320" s="18"/>
      <c r="K320" s="18"/>
      <c r="L320" s="19">
        <f t="shared" si="16"/>
        <v>1104.384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f>1965.41+0.32*9500</f>
        <v>5005.41</v>
      </c>
      <c r="I324" s="18"/>
      <c r="J324" s="18"/>
      <c r="K324" s="18"/>
      <c r="L324" s="19">
        <f t="shared" si="16"/>
        <v>5005.41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92444.864000000001</v>
      </c>
      <c r="G327" s="42">
        <f t="shared" si="17"/>
        <v>56073.650000000009</v>
      </c>
      <c r="H327" s="42">
        <f t="shared" si="17"/>
        <v>66101.061000000002</v>
      </c>
      <c r="I327" s="42">
        <f t="shared" si="17"/>
        <v>12059.44</v>
      </c>
      <c r="J327" s="42">
        <f t="shared" si="17"/>
        <v>88094.2</v>
      </c>
      <c r="K327" s="42">
        <f t="shared" si="17"/>
        <v>7641.96</v>
      </c>
      <c r="L327" s="41">
        <f t="shared" si="17"/>
        <v>322415.17500000005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11000</v>
      </c>
      <c r="G332" s="18">
        <f>19.32+841.5+737.84</f>
        <v>1598.66</v>
      </c>
      <c r="H332" s="18">
        <f>600</f>
        <v>600</v>
      </c>
      <c r="I332" s="18">
        <f>16.52</f>
        <v>16.52</v>
      </c>
      <c r="J332" s="18"/>
      <c r="K332" s="18"/>
      <c r="L332" s="19">
        <f t="shared" si="18"/>
        <v>13215.18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11000</v>
      </c>
      <c r="G336" s="41">
        <f t="shared" si="19"/>
        <v>1598.66</v>
      </c>
      <c r="H336" s="41">
        <f t="shared" si="19"/>
        <v>600</v>
      </c>
      <c r="I336" s="41">
        <f t="shared" si="19"/>
        <v>16.52</v>
      </c>
      <c r="J336" s="41">
        <f t="shared" si="19"/>
        <v>0</v>
      </c>
      <c r="K336" s="41">
        <f t="shared" si="19"/>
        <v>0</v>
      </c>
      <c r="L336" s="41">
        <f t="shared" si="18"/>
        <v>13215.18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991892.73200000008</v>
      </c>
      <c r="G337" s="41">
        <f t="shared" si="20"/>
        <v>423303.27999999997</v>
      </c>
      <c r="H337" s="41">
        <f t="shared" si="20"/>
        <v>326394.68099999998</v>
      </c>
      <c r="I337" s="41">
        <f t="shared" si="20"/>
        <v>89727.21</v>
      </c>
      <c r="J337" s="41">
        <f t="shared" si="20"/>
        <v>110087.56999999999</v>
      </c>
      <c r="K337" s="41">
        <f t="shared" si="20"/>
        <v>14117.255000000001</v>
      </c>
      <c r="L337" s="41">
        <f t="shared" si="20"/>
        <v>1955522.7280000001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f>617.76+217.56+302.15+299.25+11149.04+506.39-410.03+212.65+6.05+138+3174.3+251+19206.03+21837.65+2970.29+3919.45+541.82+256.33</f>
        <v>65195.689999999995</v>
      </c>
      <c r="L343" s="19">
        <f t="shared" ref="L343:L349" si="21">SUM(F343:K343)</f>
        <v>65195.689999999995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65195.689999999995</v>
      </c>
      <c r="L350" s="41">
        <f>SUM(L340:L349)</f>
        <v>65195.689999999995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991892.73200000008</v>
      </c>
      <c r="G351" s="41">
        <f>G337</f>
        <v>423303.27999999997</v>
      </c>
      <c r="H351" s="41">
        <f>H337</f>
        <v>326394.68099999998</v>
      </c>
      <c r="I351" s="41">
        <f>I337</f>
        <v>89727.21</v>
      </c>
      <c r="J351" s="41">
        <f>J337</f>
        <v>110087.56999999999</v>
      </c>
      <c r="K351" s="47">
        <f>K337+K350</f>
        <v>79312.944999999992</v>
      </c>
      <c r="L351" s="41">
        <f>L337+L350</f>
        <v>2020718.4180000001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17142.41+15569.35+10035.72+12839.63+9518.46+7753.48+0.3*(31274.18+49809.76)</f>
        <v>97184.232000000004</v>
      </c>
      <c r="G357" s="18">
        <f>14967.56+18751.86+777.11+1473.35+743.41+1075.27+0.3*(17201.46+24366.9)</f>
        <v>50259.067999999999</v>
      </c>
      <c r="H357" s="18">
        <f>232.46+3161.96+1262.93</f>
        <v>4657.3500000000004</v>
      </c>
      <c r="I357" s="18">
        <f>1000.21+3611.15+17316.34+10.98+116000+0.3*8920.7+0.3*2184.04</f>
        <v>141270.10199999998</v>
      </c>
      <c r="J357" s="18">
        <f>1374.9</f>
        <v>1374.9</v>
      </c>
      <c r="K357" s="18">
        <f>1200.49+0.3*2497.81</f>
        <v>1949.8330000000001</v>
      </c>
      <c r="L357" s="13">
        <f>SUM(F357:K357)</f>
        <v>296695.48499999999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7931.46+8031.21+1329.52+1613.14+24942.96+5867.7+326.25+926.21+10755.34+3843.89+24566.17+12507.46+26481.1+11025.24+12815.96+38.06+3135.66+60+3021.47+0.34*(31274.18+49809.76)-1654.83</f>
        <v>185132.50960000002</v>
      </c>
      <c r="G358" s="18">
        <f>614.75+11282.96+103.4+123.41+20257.39+459.28+26.15+71.77+1313.81+298.35+20208.99+2544.42+19370.84+857.09+18288.82+2.91+251.29+234.95+0.34*(17201.46+24366.9)</f>
        <v>110443.82239999999</v>
      </c>
      <c r="H358" s="18">
        <f>302.35+542.71+1859.35+476.5+553.8+3511.23+1464.5+689.81+2422.17</f>
        <v>11822.42</v>
      </c>
      <c r="I358" s="18">
        <f>6887.2+105806.26+9445.56+1494.45+1159.72-462.74+12546.16+126867.21+12903.26+1736.9+2504.18-788.56-116000+0.34*8920.7+0.34*2184.04</f>
        <v>167875.21160000004</v>
      </c>
      <c r="J358" s="18">
        <f>922.92+1341.38</f>
        <v>2264.3000000000002</v>
      </c>
      <c r="K358" s="18">
        <f>595.85+608.1+0.34*2497.81</f>
        <v>2053.2053999999998</v>
      </c>
      <c r="L358" s="19">
        <f>SUM(F358:K358)</f>
        <v>479591.46899999998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26691.75+10267.67+9668.81+16342.53+465.83+23058.45+11099.05+19963.26+7704.97+19612.92+5507.82+0.36*(31274.18+49809.76)</f>
        <v>179573.27840000001</v>
      </c>
      <c r="G359" s="18">
        <f>20929.1+3679.54+16921.66+2704.49+35.63+19644.18+7146.07+19298.1+16763.8+9474.5+427.26+0.36*(17201.46+24366.9)-6955.74</f>
        <v>125033.19959999998</v>
      </c>
      <c r="H359" s="18">
        <f>243.64+554.09+5655.39</f>
        <v>6453.1200000000008</v>
      </c>
      <c r="I359" s="18">
        <f>12667.12+182093.28+36438.74+2073+2568.18+0.36*8920.7+0.36*2184.04</f>
        <v>239838.02639999997</v>
      </c>
      <c r="J359" s="18"/>
      <c r="K359" s="18">
        <f>1190.97+0.36*2497.81</f>
        <v>2090.1815999999999</v>
      </c>
      <c r="L359" s="19">
        <f>SUM(F359:K359)</f>
        <v>552987.80599999998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461890.02</v>
      </c>
      <c r="G361" s="47">
        <f t="shared" si="22"/>
        <v>285736.08999999997</v>
      </c>
      <c r="H361" s="47">
        <f t="shared" si="22"/>
        <v>22932.89</v>
      </c>
      <c r="I361" s="47">
        <f t="shared" si="22"/>
        <v>548983.34</v>
      </c>
      <c r="J361" s="47">
        <f t="shared" si="22"/>
        <v>3639.2000000000003</v>
      </c>
      <c r="K361" s="47">
        <f t="shared" si="22"/>
        <v>6093.2199999999993</v>
      </c>
      <c r="L361" s="47">
        <f t="shared" si="22"/>
        <v>1329274.7599999998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0.83*I357</f>
        <v>117254.18465999998</v>
      </c>
      <c r="G366" s="18">
        <f>0.83*I358</f>
        <v>139336.42562800003</v>
      </c>
      <c r="H366" s="18">
        <f>0.83*I359</f>
        <v>199065.56191199998</v>
      </c>
      <c r="I366" s="56">
        <f>SUM(F366:H366)</f>
        <v>455656.17220000003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I357-F366</f>
        <v>24015.91734</v>
      </c>
      <c r="G367" s="63">
        <f>I358-G366</f>
        <v>28538.785972000012</v>
      </c>
      <c r="H367" s="63">
        <f>I359-H366</f>
        <v>40772.464487999998</v>
      </c>
      <c r="I367" s="56">
        <f>SUM(F367:H367)</f>
        <v>93327.16780000001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141270.10199999998</v>
      </c>
      <c r="G368" s="47">
        <f>SUM(G366:G367)</f>
        <v>167875.21160000004</v>
      </c>
      <c r="H368" s="47">
        <f>SUM(H366:H367)</f>
        <v>239838.02639999997</v>
      </c>
      <c r="I368" s="47">
        <f>SUM(I366:I367)</f>
        <v>548983.34000000008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f>250000-251955.39</f>
        <v>-1955.390000000014</v>
      </c>
      <c r="H388" s="18"/>
      <c r="I388" s="18"/>
      <c r="J388" s="24" t="s">
        <v>289</v>
      </c>
      <c r="K388" s="24" t="s">
        <v>289</v>
      </c>
      <c r="L388" s="56">
        <f t="shared" si="25"/>
        <v>-1955.390000000014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-1955.390000000014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-1955.390000000014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f>200000-48044.61</f>
        <v>151955.39000000001</v>
      </c>
      <c r="H396" s="18"/>
      <c r="I396" s="18"/>
      <c r="J396" s="24" t="s">
        <v>289</v>
      </c>
      <c r="K396" s="24" t="s">
        <v>289</v>
      </c>
      <c r="L396" s="56">
        <f t="shared" si="26"/>
        <v>151955.39000000001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151955.39000000001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151955.39000000001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150000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150000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196125.14</f>
        <v>196125.14</v>
      </c>
      <c r="G439" s="18">
        <f>186738.02</f>
        <v>186738.02</v>
      </c>
      <c r="H439" s="18"/>
      <c r="I439" s="56">
        <f t="shared" si="33"/>
        <v>382863.16000000003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f>250000</f>
        <v>250000</v>
      </c>
      <c r="G440" s="18">
        <v>200000</v>
      </c>
      <c r="H440" s="18"/>
      <c r="I440" s="56">
        <f t="shared" si="33"/>
        <v>450000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446125.14</v>
      </c>
      <c r="G445" s="13">
        <f>SUM(G438:G444)</f>
        <v>386738.02</v>
      </c>
      <c r="H445" s="13">
        <f>SUM(H438:H444)</f>
        <v>0</v>
      </c>
      <c r="I445" s="13">
        <f>SUM(I438:I444)</f>
        <v>832863.16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f>251955.39</f>
        <v>251955.39</v>
      </c>
      <c r="G447" s="18"/>
      <c r="H447" s="18"/>
      <c r="I447" s="56">
        <f>SUM(F447:H447)</f>
        <v>251955.39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251955.39</v>
      </c>
      <c r="G451" s="72">
        <f>SUM(G447:G450)</f>
        <v>0</v>
      </c>
      <c r="H451" s="72">
        <f>SUM(H447:H450)</f>
        <v>0</v>
      </c>
      <c r="I451" s="72">
        <f>SUM(I447:I450)</f>
        <v>251955.39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>
        <f>F445-F447</f>
        <v>194169.75</v>
      </c>
      <c r="G453" s="18">
        <f>G445</f>
        <v>386738.02</v>
      </c>
      <c r="H453" s="18"/>
      <c r="I453" s="56">
        <f t="shared" ref="I453:I458" si="34">SUM(F453:H453)</f>
        <v>580907.77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194169.75</v>
      </c>
      <c r="G459" s="83">
        <f>SUM(G453:G458)</f>
        <v>386738.02</v>
      </c>
      <c r="H459" s="83">
        <f>SUM(H453:H458)</f>
        <v>0</v>
      </c>
      <c r="I459" s="83">
        <f>SUM(I453:I458)</f>
        <v>580907.77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446125.14</v>
      </c>
      <c r="G460" s="42">
        <f>G451+G459</f>
        <v>386738.02</v>
      </c>
      <c r="H460" s="42">
        <f>H451+H459</f>
        <v>0</v>
      </c>
      <c r="I460" s="42">
        <f>I451+I459</f>
        <v>832863.16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f>1594988.37+F47</f>
        <v>1849260</v>
      </c>
      <c r="G464" s="18">
        <f>-111856.3</f>
        <v>-111856.3</v>
      </c>
      <c r="H464" s="18"/>
      <c r="I464" s="18">
        <v>0</v>
      </c>
      <c r="J464" s="18">
        <f>380887.83</f>
        <v>380887.83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41112392.859999992</v>
      </c>
      <c r="G467" s="18">
        <f>G192</f>
        <v>1350107.77</v>
      </c>
      <c r="H467" s="18">
        <f>H161</f>
        <v>2020718.4200000004</v>
      </c>
      <c r="I467" s="18"/>
      <c r="J467" s="18">
        <f>L407</f>
        <v>150000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69539.78</v>
      </c>
      <c r="G468" s="18"/>
      <c r="H468" s="18"/>
      <c r="I468" s="18"/>
      <c r="J468" s="18">
        <f>I453-578932.44+48044.61</f>
        <v>50019.940000000075</v>
      </c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41181932.639999993</v>
      </c>
      <c r="G469" s="53">
        <f>SUM(G467:G468)</f>
        <v>1350107.77</v>
      </c>
      <c r="H469" s="53">
        <f>SUM(H467:H468)</f>
        <v>2020718.4200000004</v>
      </c>
      <c r="I469" s="53">
        <f>SUM(I467:I468)</f>
        <v>0</v>
      </c>
      <c r="J469" s="53">
        <f>SUM(J467:J468)</f>
        <v>200019.94000000006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41474571.058977999</v>
      </c>
      <c r="G471" s="18">
        <f>L361</f>
        <v>1329274.7599999998</v>
      </c>
      <c r="H471" s="18">
        <f>L351</f>
        <v>2020718.4180000001</v>
      </c>
      <c r="I471" s="18"/>
      <c r="J471" s="18">
        <f>L433</f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48044.61</v>
      </c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41522615.668977998</v>
      </c>
      <c r="G473" s="53">
        <f>SUM(G471:G472)</f>
        <v>1329274.7599999998</v>
      </c>
      <c r="H473" s="53">
        <f>SUM(H471:H472)</f>
        <v>2020718.4180000001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1508576.9710219949</v>
      </c>
      <c r="G475" s="53">
        <f>(G464+G469)- G473</f>
        <v>-91023.289999999804</v>
      </c>
      <c r="H475" s="53">
        <f>(H464+H469)- H473</f>
        <v>2.0000003278255463E-3</v>
      </c>
      <c r="I475" s="53">
        <f>(I464+I469)- I473</f>
        <v>0</v>
      </c>
      <c r="J475" s="53">
        <f>(J464+J469)- J473</f>
        <v>580907.77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>
        <v>15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914</v>
      </c>
      <c r="G490" s="155" t="s">
        <v>915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916</v>
      </c>
      <c r="G491" s="155" t="s">
        <v>917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9000000</v>
      </c>
      <c r="G492" s="18">
        <v>1000000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4.87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f>519758.72+532414.85+545379.1</f>
        <v>1597552.67</v>
      </c>
      <c r="G494" s="18">
        <f>467793.4+441371.7</f>
        <v>909165.10000000009</v>
      </c>
      <c r="H494" s="18"/>
      <c r="I494" s="18"/>
      <c r="J494" s="18"/>
      <c r="K494" s="53">
        <f>SUM(F494:J494)</f>
        <v>2506717.77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f>519758.72+532414.85</f>
        <v>1052173.5699999998</v>
      </c>
      <c r="G496" s="18">
        <v>467793.4</v>
      </c>
      <c r="H496" s="18"/>
      <c r="I496" s="18"/>
      <c r="J496" s="18"/>
      <c r="K496" s="53">
        <f t="shared" si="35"/>
        <v>1519966.9699999997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545379.1</f>
        <v>545379.1</v>
      </c>
      <c r="G497" s="205">
        <v>441371.7</v>
      </c>
      <c r="H497" s="205"/>
      <c r="I497" s="205"/>
      <c r="J497" s="205"/>
      <c r="K497" s="206">
        <f t="shared" si="35"/>
        <v>986750.8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13280.03</v>
      </c>
      <c r="G498" s="18">
        <v>523628.3</v>
      </c>
      <c r="H498" s="18"/>
      <c r="I498" s="18"/>
      <c r="J498" s="18"/>
      <c r="K498" s="53">
        <f t="shared" si="35"/>
        <v>536908.32999999996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558659.13</v>
      </c>
      <c r="G499" s="42">
        <f>SUM(G497:G498)</f>
        <v>965000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1523659.13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545379.1</v>
      </c>
      <c r="G500" s="205">
        <v>441371.7</v>
      </c>
      <c r="H500" s="205"/>
      <c r="I500" s="205"/>
      <c r="J500" s="205"/>
      <c r="K500" s="206">
        <f t="shared" si="35"/>
        <v>986750.8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13280.03</v>
      </c>
      <c r="G501" s="18">
        <v>523628.3</v>
      </c>
      <c r="H501" s="18"/>
      <c r="I501" s="18"/>
      <c r="J501" s="18"/>
      <c r="K501" s="53">
        <f t="shared" si="35"/>
        <v>536908.32999999996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558659.13</v>
      </c>
      <c r="G502" s="42">
        <f>SUM(G500:G501)</f>
        <v>965000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1523659.13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0.3*55654.18+0.5*131389+91898.94+66747.28+64861+60522+55641.5+43990+52703+128337+59502+0.5*182544.79+19788.72+30025.35+19314+25833.5+122105.58+132391.86+25560.87+0.3*26096+81914.5+163.63+64868.56+2112.26+0.3*109935.5+79715.18+0.3*57973.28</f>
        <v>1459861.3129999998</v>
      </c>
      <c r="G520" s="18">
        <f>0.45*F520+43544.37</f>
        <v>700481.96084999992</v>
      </c>
      <c r="H520" s="18">
        <f>0.3*(4934.7+47367.14)+F581+F582+112.61+691.27+0.5*1950.88</f>
        <v>107602.06200000001</v>
      </c>
      <c r="I520" s="18">
        <f>0.3*7946.6+516.84+2554.52+264.82+2241.51+0.3*4313.98+287.14+183.84+140+339.84+216.41</f>
        <v>10423.093999999999</v>
      </c>
      <c r="J520" s="18">
        <f>880.08+434.44+296.64</f>
        <v>1611.1599999999999</v>
      </c>
      <c r="K520" s="18">
        <f>0.3*7801.97+0.3*2329</f>
        <v>3039.2909999999997</v>
      </c>
      <c r="L520" s="88">
        <f>SUM(F520:K520)</f>
        <v>2283018.8808499998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0.34*55654.18+0.5*131389+134944+263667.5+0.5*182544.79+19796.85+25828.69+308089.71+0.34*26096+0.34*109935.5+4462.5+0.34*57973.28</f>
        <v>998640.19140000001</v>
      </c>
      <c r="G521" s="18">
        <f>0.4*F521+49350.28</f>
        <v>448806.35655999999</v>
      </c>
      <c r="H521" s="18">
        <f>0.34*(4934.7+47367.14)+G581+G582+0.5*1950.88</f>
        <v>255118.89560000002</v>
      </c>
      <c r="I521" s="18">
        <f>0.34*7948.6+799.45+128.75+0.3*4313.98+798.08+175.77+283.95</f>
        <v>6182.7179999999998</v>
      </c>
      <c r="J521" s="18"/>
      <c r="K521" s="18">
        <f>0.34*7801.97+58.75+0.34*2329</f>
        <v>3503.2798000000003</v>
      </c>
      <c r="L521" s="88">
        <f>SUM(F521:K521)</f>
        <v>1712251.4413600001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0.36*55654.18+0.36*26096+326701.25+131425.5+160368.74+181204.59+109647.21+0.36*109935.5+0.36*57973.28</f>
        <v>999224.51560000004</v>
      </c>
      <c r="G522" s="18">
        <f>0.48*F522+52253.24</f>
        <v>531881.00748799997</v>
      </c>
      <c r="H522" s="18">
        <f>0.36*(4934.7+47367.14)+1580.7+389.08+28270+H578+H581+H582+6691.52+498.66</f>
        <v>1076773.4023999998</v>
      </c>
      <c r="I522" s="18">
        <f>0.36*7948.6+1371.04+675.2+2646.12+0.36*4313.98+787.62+25+522.39+324.5+190.65+199.9+269.85</f>
        <v>11426.798799999999</v>
      </c>
      <c r="J522" s="18"/>
      <c r="K522" s="18">
        <f>0.36*7801.97+0.36*2329</f>
        <v>3647.1491999999998</v>
      </c>
      <c r="L522" s="88">
        <f>SUM(F522:K522)</f>
        <v>2622952.8734879997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3457726.02</v>
      </c>
      <c r="G523" s="108">
        <f t="shared" ref="G523:L523" si="36">SUM(G520:G522)</f>
        <v>1681169.3248979999</v>
      </c>
      <c r="H523" s="108">
        <f t="shared" si="36"/>
        <v>1439494.3599999999</v>
      </c>
      <c r="I523" s="108">
        <f t="shared" si="36"/>
        <v>28032.610799999995</v>
      </c>
      <c r="J523" s="108">
        <f t="shared" si="36"/>
        <v>1611.1599999999999</v>
      </c>
      <c r="K523" s="108">
        <f t="shared" si="36"/>
        <v>10189.719999999999</v>
      </c>
      <c r="L523" s="89">
        <f t="shared" si="36"/>
        <v>6618223.1956979996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0.3*170174.33+0.3*278741.7+0.3*264666+0.3*28446.75+0.3*90658.17</f>
        <v>249806.08499999999</v>
      </c>
      <c r="G525" s="18">
        <f>0.45*F525+0.3*19955.27</f>
        <v>118399.31925</v>
      </c>
      <c r="H525" s="18">
        <f>0.3*35184.56</f>
        <v>10555.367999999999</v>
      </c>
      <c r="I525" s="18">
        <f>0.3*5806.86</f>
        <v>1742.0579999999998</v>
      </c>
      <c r="J525" s="18">
        <f>0.3*6834.78+0.3*2650.04+0.3*2066.66</f>
        <v>3465.444</v>
      </c>
      <c r="K525" s="18"/>
      <c r="L525" s="88">
        <f>SUM(F525:K525)</f>
        <v>383968.27425000007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0.34*170174.33+0.34*278141.7+0.34*264666+0.34*28446.75+0.34*90658.17</f>
        <v>282909.56300000002</v>
      </c>
      <c r="G526" s="18">
        <f>0.25*F526+0.34*19955.27</f>
        <v>77512.182550000012</v>
      </c>
      <c r="H526" s="18">
        <f>0.34*35184.56</f>
        <v>11962.750400000001</v>
      </c>
      <c r="I526" s="18">
        <f>0.34*5806.86</f>
        <v>1974.3324</v>
      </c>
      <c r="J526" s="18">
        <f>589+3224.84+0.34*2066.66</f>
        <v>4516.5043999999998</v>
      </c>
      <c r="K526" s="18"/>
      <c r="L526" s="88">
        <f>SUM(F526:K526)</f>
        <v>378875.33275000006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0.36*170174.33+0.36*278141.7+0.36*264666+0.36*28446.75+0.36*90658.17</f>
        <v>299551.30200000003</v>
      </c>
      <c r="G527" s="18">
        <f>0.25*F527+0.36*19955.27</f>
        <v>82071.722700000013</v>
      </c>
      <c r="H527" s="18">
        <f>0.36*35184.56</f>
        <v>12666.441599999998</v>
      </c>
      <c r="I527" s="18">
        <f>0.36*5806.86</f>
        <v>2090.4695999999999</v>
      </c>
      <c r="J527" s="18">
        <f>0.36*6834.78+0.36*2650.04+0.36*2066.66</f>
        <v>4158.5328</v>
      </c>
      <c r="K527" s="18"/>
      <c r="L527" s="88">
        <f>SUM(F527:K527)</f>
        <v>400538.46870000008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832266.95000000007</v>
      </c>
      <c r="G528" s="89">
        <f t="shared" ref="G528:L528" si="37">SUM(G525:G527)</f>
        <v>277983.22450000001</v>
      </c>
      <c r="H528" s="89">
        <f t="shared" si="37"/>
        <v>35184.559999999998</v>
      </c>
      <c r="I528" s="89">
        <f t="shared" si="37"/>
        <v>5806.86</v>
      </c>
      <c r="J528" s="89">
        <f t="shared" si="37"/>
        <v>12140.481199999998</v>
      </c>
      <c r="K528" s="89">
        <f t="shared" si="37"/>
        <v>0</v>
      </c>
      <c r="L528" s="89">
        <f t="shared" si="37"/>
        <v>1163382.0757000002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0.3*88017.01+0.3*165592.96</f>
        <v>76082.990999999995</v>
      </c>
      <c r="G530" s="18">
        <f>0.3*54632.76+27333</f>
        <v>43722.828000000001</v>
      </c>
      <c r="H530" s="18">
        <f>0.3*10666.37</f>
        <v>3199.9110000000001</v>
      </c>
      <c r="I530" s="18"/>
      <c r="J530" s="18"/>
      <c r="K530" s="18">
        <f>0.3*660</f>
        <v>198</v>
      </c>
      <c r="L530" s="88">
        <f>SUM(F530:K530)</f>
        <v>123203.72999999998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0.34*88017.01+42866.64+0.34*165592.96</f>
        <v>129094.0298</v>
      </c>
      <c r="G531" s="18">
        <f>0.34*54632.76+27333.34</f>
        <v>45908.478400000007</v>
      </c>
      <c r="H531" s="18">
        <f>0.34*10666.37</f>
        <v>3626.5658000000003</v>
      </c>
      <c r="I531" s="18"/>
      <c r="J531" s="18"/>
      <c r="K531" s="18">
        <f>0.34*660</f>
        <v>224.4</v>
      </c>
      <c r="L531" s="88">
        <f>SUM(F531:K531)</f>
        <v>178853.47400000002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0.36*88017.01+0.36*165592.96+23512.5+69664</f>
        <v>184476.08919999999</v>
      </c>
      <c r="G532" s="18">
        <f>0.36*54632.76+27333</f>
        <v>47000.793600000005</v>
      </c>
      <c r="H532" s="18">
        <f>0.36*10666.37</f>
        <v>3839.8932</v>
      </c>
      <c r="I532" s="18"/>
      <c r="J532" s="18"/>
      <c r="K532" s="18">
        <f>0.36*660</f>
        <v>237.6</v>
      </c>
      <c r="L532" s="88">
        <f>SUM(F532:K532)</f>
        <v>235554.37599999999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389653.11</v>
      </c>
      <c r="G533" s="89">
        <f t="shared" ref="G533:L533" si="38">SUM(G530:G532)</f>
        <v>136632.1</v>
      </c>
      <c r="H533" s="89">
        <f t="shared" si="38"/>
        <v>10666.37</v>
      </c>
      <c r="I533" s="89">
        <f t="shared" si="38"/>
        <v>0</v>
      </c>
      <c r="J533" s="89">
        <f t="shared" si="38"/>
        <v>0</v>
      </c>
      <c r="K533" s="89">
        <f t="shared" si="38"/>
        <v>660</v>
      </c>
      <c r="L533" s="89">
        <f t="shared" si="38"/>
        <v>537611.58000000007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f>0.3*39692.59</f>
        <v>11907.776999999998</v>
      </c>
      <c r="I535" s="18"/>
      <c r="J535" s="18"/>
      <c r="K535" s="18"/>
      <c r="L535" s="88">
        <f>SUM(F535:K535)</f>
        <v>11907.776999999998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f>0.34*39692.59</f>
        <v>13495.480599999999</v>
      </c>
      <c r="I536" s="18"/>
      <c r="J536" s="18"/>
      <c r="K536" s="18"/>
      <c r="L536" s="88">
        <f>SUM(F536:K536)</f>
        <v>13495.480599999999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f>0.36*39692.59</f>
        <v>14289.332399999998</v>
      </c>
      <c r="I537" s="18"/>
      <c r="J537" s="18"/>
      <c r="K537" s="18"/>
      <c r="L537" s="88">
        <f>SUM(F537:K537)</f>
        <v>14289.332399999998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39692.589999999997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39692.589999999997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0.36*500490.46</f>
        <v>180176.5656</v>
      </c>
      <c r="I540" s="18"/>
      <c r="J540" s="18"/>
      <c r="K540" s="18"/>
      <c r="L540" s="88">
        <f>SUM(F540:K540)</f>
        <v>180176.5656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f>0.34*500490.46</f>
        <v>170166.75640000001</v>
      </c>
      <c r="I541" s="18"/>
      <c r="J541" s="18"/>
      <c r="K541" s="18"/>
      <c r="L541" s="88">
        <f>SUM(F541:K541)</f>
        <v>170166.75640000001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0.3*500490.46</f>
        <v>150147.13800000001</v>
      </c>
      <c r="I542" s="18"/>
      <c r="J542" s="18"/>
      <c r="K542" s="18"/>
      <c r="L542" s="88">
        <f>SUM(F542:K542)</f>
        <v>150147.13800000001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500490.46000000008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500490.46000000008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4679646.08</v>
      </c>
      <c r="G544" s="89">
        <f t="shared" ref="G544:L544" si="41">G523+G528+G533+G538+G543</f>
        <v>2095784.649398</v>
      </c>
      <c r="H544" s="89">
        <f t="shared" si="41"/>
        <v>2025528.3400000003</v>
      </c>
      <c r="I544" s="89">
        <f t="shared" si="41"/>
        <v>33839.470799999996</v>
      </c>
      <c r="J544" s="89">
        <f t="shared" si="41"/>
        <v>13751.641199999998</v>
      </c>
      <c r="K544" s="89">
        <f t="shared" si="41"/>
        <v>10849.72</v>
      </c>
      <c r="L544" s="89">
        <f t="shared" si="41"/>
        <v>8859399.9013979994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2283018.8808499998</v>
      </c>
      <c r="G548" s="87">
        <f>L525</f>
        <v>383968.27425000007</v>
      </c>
      <c r="H548" s="87">
        <f>L530</f>
        <v>123203.72999999998</v>
      </c>
      <c r="I548" s="87">
        <f>L535</f>
        <v>11907.776999999998</v>
      </c>
      <c r="J548" s="87">
        <f>L540</f>
        <v>180176.5656</v>
      </c>
      <c r="K548" s="87">
        <f>SUM(F548:J548)</f>
        <v>2982275.2276999997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1712251.4413600001</v>
      </c>
      <c r="G549" s="87">
        <f>L526</f>
        <v>378875.33275000006</v>
      </c>
      <c r="H549" s="87">
        <f>L531</f>
        <v>178853.47400000002</v>
      </c>
      <c r="I549" s="87">
        <f>L536</f>
        <v>13495.480599999999</v>
      </c>
      <c r="J549" s="87">
        <f>L541</f>
        <v>170166.75640000001</v>
      </c>
      <c r="K549" s="87">
        <f>SUM(F549:J549)</f>
        <v>2453642.4851099998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2622952.8734879997</v>
      </c>
      <c r="G550" s="87">
        <f>L527</f>
        <v>400538.46870000008</v>
      </c>
      <c r="H550" s="87">
        <f>L532</f>
        <v>235554.37599999999</v>
      </c>
      <c r="I550" s="87">
        <f>L537</f>
        <v>14289.332399999998</v>
      </c>
      <c r="J550" s="87">
        <f>L542</f>
        <v>150147.13800000001</v>
      </c>
      <c r="K550" s="87">
        <f>SUM(F550:J550)</f>
        <v>3423482.1885879999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6618223.1956979996</v>
      </c>
      <c r="G551" s="89">
        <f t="shared" si="42"/>
        <v>1163382.0757000002</v>
      </c>
      <c r="H551" s="89">
        <f t="shared" si="42"/>
        <v>537611.58000000007</v>
      </c>
      <c r="I551" s="89">
        <f t="shared" si="42"/>
        <v>39692.589999999997</v>
      </c>
      <c r="J551" s="89">
        <f t="shared" si="42"/>
        <v>500490.46000000008</v>
      </c>
      <c r="K551" s="89">
        <f t="shared" si="42"/>
        <v>8859399.9013979994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>SUM(F556:F558)</f>
        <v>0</v>
      </c>
      <c r="G559" s="108">
        <f>SUM(G556:G558)</f>
        <v>0</v>
      </c>
      <c r="H559" s="108">
        <f t="shared" ref="H559:L559" si="43">SUM(H556:H558)</f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f>0.3*71268.29</f>
        <v>21380.486999999997</v>
      </c>
      <c r="G561" s="18">
        <f>0.35*F561</f>
        <v>7483.1704499999987</v>
      </c>
      <c r="H561" s="18">
        <f>0.3*2918.41</f>
        <v>875.52299999999991</v>
      </c>
      <c r="I561" s="18">
        <f>0.3*(606.8+230.4)</f>
        <v>251.15999999999997</v>
      </c>
      <c r="J561" s="18"/>
      <c r="K561" s="18"/>
      <c r="L561" s="88">
        <f>SUM(F561:K561)</f>
        <v>29990.340449999996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f>0.34*71268.29</f>
        <v>24231.2186</v>
      </c>
      <c r="G562" s="18">
        <f t="shared" ref="G562:G563" si="44">0.35*F562</f>
        <v>8480.9265099999993</v>
      </c>
      <c r="H562" s="18">
        <f>0.34*2918.41</f>
        <v>992.25940000000003</v>
      </c>
      <c r="I562" s="18">
        <f>0.34*(606.8+230.4)</f>
        <v>284.64800000000002</v>
      </c>
      <c r="J562" s="18"/>
      <c r="K562" s="18"/>
      <c r="L562" s="88">
        <f>SUM(F562:K562)</f>
        <v>33989.052510000001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f>0.36*71268.29</f>
        <v>25656.584399999996</v>
      </c>
      <c r="G563" s="18">
        <f t="shared" si="44"/>
        <v>8979.8045399999974</v>
      </c>
      <c r="H563" s="18">
        <f>0.36*2918.41</f>
        <v>1050.6275999999998</v>
      </c>
      <c r="I563" s="18">
        <f>0.36*(606.8+230.4)</f>
        <v>301.39199999999994</v>
      </c>
      <c r="J563" s="18"/>
      <c r="K563" s="18"/>
      <c r="L563" s="88">
        <f>SUM(F563:K563)</f>
        <v>35988.408539999989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>SUM(F561:F563)</f>
        <v>71268.289999999994</v>
      </c>
      <c r="G564" s="89">
        <f>SUM(G561:G563)</f>
        <v>24943.901499999996</v>
      </c>
      <c r="H564" s="89">
        <f t="shared" ref="H564:L564" si="45">SUM(H561:H563)</f>
        <v>2918.41</v>
      </c>
      <c r="I564" s="89">
        <f t="shared" si="45"/>
        <v>837.19999999999993</v>
      </c>
      <c r="J564" s="89">
        <f t="shared" si="45"/>
        <v>0</v>
      </c>
      <c r="K564" s="89">
        <f t="shared" si="45"/>
        <v>0</v>
      </c>
      <c r="L564" s="89">
        <f t="shared" si="45"/>
        <v>99967.801499999987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6">SUM(G566:G568)</f>
        <v>0</v>
      </c>
      <c r="H569" s="194">
        <f t="shared" si="46"/>
        <v>0</v>
      </c>
      <c r="I569" s="194">
        <f t="shared" si="46"/>
        <v>0</v>
      </c>
      <c r="J569" s="194">
        <f t="shared" si="46"/>
        <v>0</v>
      </c>
      <c r="K569" s="194">
        <f t="shared" si="46"/>
        <v>0</v>
      </c>
      <c r="L569" s="194">
        <f t="shared" si="46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71268.289999999994</v>
      </c>
      <c r="G570" s="89">
        <f t="shared" ref="G570:L570" si="47">G559+G564+G569</f>
        <v>24943.901499999996</v>
      </c>
      <c r="H570" s="89">
        <f t="shared" si="47"/>
        <v>2918.41</v>
      </c>
      <c r="I570" s="89">
        <f t="shared" si="47"/>
        <v>837.19999999999993</v>
      </c>
      <c r="J570" s="89">
        <f t="shared" si="47"/>
        <v>0</v>
      </c>
      <c r="K570" s="89">
        <f t="shared" si="47"/>
        <v>0</v>
      </c>
      <c r="L570" s="89">
        <f t="shared" si="47"/>
        <v>99967.801499999987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f>7869.66</f>
        <v>7869.66</v>
      </c>
      <c r="I578" s="87">
        <f t="shared" si="48"/>
        <v>7869.66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27988.13+19452.16+21011.52+11395.88+150+150+27+22.5+35</f>
        <v>80232.19</v>
      </c>
      <c r="G581" s="18">
        <f>82030.99+73166.9+44337.91+14693.77</f>
        <v>214229.57</v>
      </c>
      <c r="H581" s="18">
        <f>6864+138996.2+150346.71+12710.43+8919.6+41251.8+22369.62+4620+3798.56+52467.61+116598.16+1100+26000+3704.69</f>
        <v>589747.37999999989</v>
      </c>
      <c r="I581" s="87">
        <f t="shared" si="48"/>
        <v>884209.1399999999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f>9900</f>
        <v>9900</v>
      </c>
      <c r="G582" s="18">
        <f>21231.44+899.82</f>
        <v>22131.26</v>
      </c>
      <c r="H582" s="18">
        <f>75944.64+265729.12+43345.44+4395.64+33482.9</f>
        <v>422897.74000000005</v>
      </c>
      <c r="I582" s="87">
        <f t="shared" si="48"/>
        <v>454929.00000000006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0.36*1320463.53</f>
        <v>475366.87079999998</v>
      </c>
      <c r="I590" s="18">
        <f>0.34*1320463.53</f>
        <v>448957.60020000004</v>
      </c>
      <c r="J590" s="18">
        <f>0.3*1320463.53+2063.75</f>
        <v>398202.80900000001</v>
      </c>
      <c r="K590" s="104">
        <f t="shared" ref="K590:K596" si="49">SUM(H590:J590)</f>
        <v>1322527.28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0.36*500490.46</f>
        <v>180176.5656</v>
      </c>
      <c r="I591" s="18">
        <f>0.34*500490.46</f>
        <v>170166.75640000001</v>
      </c>
      <c r="J591" s="18">
        <f>0.3*500490.46</f>
        <v>150147.13800000001</v>
      </c>
      <c r="K591" s="104">
        <f t="shared" si="49"/>
        <v>500490.46000000008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f>5996.61+4848.87</f>
        <v>10845.48</v>
      </c>
      <c r="K592" s="104">
        <f t="shared" si="49"/>
        <v>10845.48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f>3935.6+16166.97</f>
        <v>20102.57</v>
      </c>
      <c r="J593" s="18">
        <f>72751.89-4848.87</f>
        <v>67903.02</v>
      </c>
      <c r="K593" s="104">
        <f t="shared" si="49"/>
        <v>88005.59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16036.84</f>
        <v>16036.84</v>
      </c>
      <c r="I594" s="18">
        <f>22918.28+12998.89</f>
        <v>35917.17</v>
      </c>
      <c r="J594" s="18"/>
      <c r="K594" s="104">
        <f t="shared" si="49"/>
        <v>51954.009999999995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671580.27639999997</v>
      </c>
      <c r="I597" s="108">
        <f>SUM(I590:I596)</f>
        <v>675144.09660000005</v>
      </c>
      <c r="J597" s="108">
        <f>SUM(J590:J596)</f>
        <v>627098.44700000004</v>
      </c>
      <c r="K597" s="108">
        <f>SUM(K590:K596)</f>
        <v>1973822.8200000003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0.3*158404.71+1241.82+9827.99+685.92+3257.35+6492.84+27315.23+14381.18+4674.55+0.3*25080.1+282.91+0.3*32609.51</f>
        <v>132988.08599999998</v>
      </c>
      <c r="I603" s="18">
        <f>0.34*158404.714+50261.111+37199.87+0.34*25080.1+0.34*32609.51</f>
        <v>160933.05116</v>
      </c>
      <c r="J603" s="18">
        <f>0.36*158404.71+145069.13+420.79+0.36*25080.1+1898+6167.13+59195.38+0.36*32609.51</f>
        <v>290544.38519999996</v>
      </c>
      <c r="K603" s="104">
        <f>SUM(H603:J603)</f>
        <v>584465.52235999994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132988.08599999998</v>
      </c>
      <c r="I604" s="108">
        <f>SUM(I601:I603)</f>
        <v>160933.05116</v>
      </c>
      <c r="J604" s="108">
        <f>SUM(J601:J603)</f>
        <v>290544.38519999996</v>
      </c>
      <c r="K604" s="108">
        <f>SUM(K601:K603)</f>
        <v>584465.52235999994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0.3*55654.18</f>
        <v>16696.254000000001</v>
      </c>
      <c r="G610" s="18">
        <f>0.35*F610</f>
        <v>5843.6889000000001</v>
      </c>
      <c r="H610" s="18">
        <f>0.3*(4934.7+112.61)+0.3*18540</f>
        <v>7076.1929999999993</v>
      </c>
      <c r="I610" s="18">
        <f>0.3*691.27</f>
        <v>207.381</v>
      </c>
      <c r="J610" s="18"/>
      <c r="K610" s="18"/>
      <c r="L610" s="88">
        <f>SUM(F610:K610)</f>
        <v>29823.516900000002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0.34*55654.18</f>
        <v>18922.421200000001</v>
      </c>
      <c r="G611" s="18">
        <f t="shared" ref="G611:G612" si="50">0.35*F611</f>
        <v>6622.8474200000001</v>
      </c>
      <c r="H611" s="18">
        <f>0.34*(4934.7+112.61)+0.34*18540</f>
        <v>8019.6854000000003</v>
      </c>
      <c r="I611" s="18">
        <f>0.34*691.27</f>
        <v>235.0318</v>
      </c>
      <c r="J611" s="18"/>
      <c r="K611" s="18"/>
      <c r="L611" s="88">
        <f>SUM(F611:K611)</f>
        <v>33799.985820000002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0.36*55654.18</f>
        <v>20035.504799999999</v>
      </c>
      <c r="G612" s="18">
        <f t="shared" si="50"/>
        <v>7012.4266799999996</v>
      </c>
      <c r="H612" s="18">
        <f>0.36*(4934.7+112.61)+0.36*18540</f>
        <v>8491.4315999999999</v>
      </c>
      <c r="I612" s="18">
        <f>0.36*691.27</f>
        <v>248.85719999999998</v>
      </c>
      <c r="J612" s="18"/>
      <c r="K612" s="18"/>
      <c r="L612" s="88">
        <f>SUM(F612:K612)</f>
        <v>35788.220279999994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1">SUM(F610:F612)</f>
        <v>55654.179999999993</v>
      </c>
      <c r="G613" s="108">
        <f t="shared" si="51"/>
        <v>19478.963</v>
      </c>
      <c r="H613" s="108">
        <f t="shared" si="51"/>
        <v>23587.309999999998</v>
      </c>
      <c r="I613" s="108">
        <f t="shared" si="51"/>
        <v>691.27</v>
      </c>
      <c r="J613" s="108">
        <f t="shared" si="51"/>
        <v>0</v>
      </c>
      <c r="K613" s="108">
        <f t="shared" si="51"/>
        <v>0</v>
      </c>
      <c r="L613" s="89">
        <f t="shared" si="51"/>
        <v>99411.722999999998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2314064.17</v>
      </c>
      <c r="H616" s="109">
        <f>SUM(F51)</f>
        <v>2314064.17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210571.14</v>
      </c>
      <c r="H617" s="109">
        <f>SUM(G51)</f>
        <v>210571.14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228688.04</v>
      </c>
      <c r="H618" s="109">
        <f>SUM(H51)</f>
        <v>228688.04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100000</v>
      </c>
      <c r="H619" s="109">
        <f>SUM(I51)</f>
        <v>100000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832863.16</v>
      </c>
      <c r="H620" s="109">
        <f>SUM(J51)</f>
        <v>832863.16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1508576.9699999997</v>
      </c>
      <c r="H621" s="109">
        <f>F475</f>
        <v>1508576.9710219949</v>
      </c>
      <c r="I621" s="121" t="s">
        <v>101</v>
      </c>
      <c r="J621" s="109">
        <f t="shared" ref="J621:J654" si="52">G621-H621</f>
        <v>-1.0219952091574669E-3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-91023.289999999979</v>
      </c>
      <c r="H622" s="109">
        <f>G475</f>
        <v>-91023.289999999804</v>
      </c>
      <c r="I622" s="121" t="s">
        <v>102</v>
      </c>
      <c r="J622" s="109">
        <f t="shared" si="52"/>
        <v>-1.7462298274040222E-10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2.0000003278255463E-3</v>
      </c>
      <c r="I623" s="121" t="s">
        <v>103</v>
      </c>
      <c r="J623" s="109">
        <f t="shared" si="52"/>
        <v>-2.0000003278255463E-3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2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580907.77</v>
      </c>
      <c r="H625" s="109">
        <f>J475</f>
        <v>580907.77</v>
      </c>
      <c r="I625" s="140" t="s">
        <v>105</v>
      </c>
      <c r="J625" s="109">
        <f t="shared" si="52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41112392.859999992</v>
      </c>
      <c r="H626" s="104">
        <f>SUM(F467)</f>
        <v>41112392.859999992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1350107.77</v>
      </c>
      <c r="H627" s="104">
        <f>SUM(G467)</f>
        <v>1350107.77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2020718.4200000004</v>
      </c>
      <c r="H628" s="104">
        <f>SUM(H467)</f>
        <v>2020718.4200000004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150000</v>
      </c>
      <c r="H630" s="104">
        <f>SUM(J467)</f>
        <v>150000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41474571.058977999</v>
      </c>
      <c r="H631" s="104">
        <f>SUM(F471)</f>
        <v>41474571.058977999</v>
      </c>
      <c r="I631" s="140" t="s">
        <v>111</v>
      </c>
      <c r="J631" s="109">
        <f t="shared" si="52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2020718.4180000001</v>
      </c>
      <c r="H632" s="104">
        <f>SUM(H471)</f>
        <v>2020718.4180000001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548983.34</v>
      </c>
      <c r="H633" s="104">
        <f>I368</f>
        <v>548983.34000000008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1329274.7599999998</v>
      </c>
      <c r="H634" s="104">
        <f>SUM(G471)</f>
        <v>1329274.7599999998</v>
      </c>
      <c r="I634" s="140" t="s">
        <v>114</v>
      </c>
      <c r="J634" s="109">
        <f t="shared" si="52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2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150000</v>
      </c>
      <c r="H636" s="164">
        <f>SUM(J467)</f>
        <v>150000</v>
      </c>
      <c r="I636" s="165" t="s">
        <v>110</v>
      </c>
      <c r="J636" s="151">
        <f t="shared" si="52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2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446125.14</v>
      </c>
      <c r="H638" s="104">
        <f>SUM(F460)</f>
        <v>446125.14</v>
      </c>
      <c r="I638" s="140" t="s">
        <v>868</v>
      </c>
      <c r="J638" s="109">
        <f t="shared" si="52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386738.02</v>
      </c>
      <c r="H639" s="104">
        <f>SUM(G460)</f>
        <v>386738.02</v>
      </c>
      <c r="I639" s="140" t="s">
        <v>869</v>
      </c>
      <c r="J639" s="109">
        <f t="shared" si="52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2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832863.16</v>
      </c>
      <c r="H641" s="104">
        <f>SUM(I460)</f>
        <v>832863.16</v>
      </c>
      <c r="I641" s="140" t="s">
        <v>871</v>
      </c>
      <c r="J641" s="109">
        <f t="shared" si="52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2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2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150000</v>
      </c>
      <c r="H644" s="104">
        <f>G407</f>
        <v>150000</v>
      </c>
      <c r="I644" s="140" t="s">
        <v>482</v>
      </c>
      <c r="J644" s="109">
        <f t="shared" si="52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150000</v>
      </c>
      <c r="H645" s="104">
        <f>L407</f>
        <v>150000</v>
      </c>
      <c r="I645" s="140" t="s">
        <v>478</v>
      </c>
      <c r="J645" s="109">
        <f t="shared" si="52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1973822.8200000003</v>
      </c>
      <c r="H646" s="104">
        <f>L207+L225+L243</f>
        <v>1973822.82</v>
      </c>
      <c r="I646" s="140" t="s">
        <v>397</v>
      </c>
      <c r="J646" s="109">
        <f t="shared" si="52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584465.52235999994</v>
      </c>
      <c r="H647" s="104">
        <f>(J256+J337)-(J254+J335)</f>
        <v>584465.51899999997</v>
      </c>
      <c r="I647" s="140" t="s">
        <v>703</v>
      </c>
      <c r="J647" s="109">
        <f t="shared" si="52"/>
        <v>3.3599999733269215E-3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671580.28</v>
      </c>
      <c r="H648" s="104">
        <f>H597</f>
        <v>671580.27639999997</v>
      </c>
      <c r="I648" s="140" t="s">
        <v>389</v>
      </c>
      <c r="J648" s="109">
        <f t="shared" si="52"/>
        <v>3.6000000545755029E-3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675144.09</v>
      </c>
      <c r="H649" s="104">
        <f>I597</f>
        <v>675144.09660000005</v>
      </c>
      <c r="I649" s="140" t="s">
        <v>390</v>
      </c>
      <c r="J649" s="109">
        <f t="shared" si="52"/>
        <v>-6.600000080652535E-3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627098.44999999995</v>
      </c>
      <c r="H650" s="104">
        <f>J597</f>
        <v>627098.44700000004</v>
      </c>
      <c r="I650" s="140" t="s">
        <v>391</v>
      </c>
      <c r="J650" s="109">
        <f t="shared" si="52"/>
        <v>2.9999999096617103E-3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276313.21999999997</v>
      </c>
      <c r="H651" s="104">
        <f>K262+K344</f>
        <v>276313.21999999997</v>
      </c>
      <c r="I651" s="140" t="s">
        <v>398</v>
      </c>
      <c r="J651" s="109">
        <f t="shared" si="52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2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2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150000</v>
      </c>
      <c r="H654" s="104">
        <f>K265+K346</f>
        <v>150000</v>
      </c>
      <c r="I654" s="140" t="s">
        <v>401</v>
      </c>
      <c r="J654" s="109">
        <f t="shared" si="52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3.3803284168243408E-4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13583455.959401999</v>
      </c>
      <c r="G659" s="19">
        <f>(L228+L308+L358)</f>
        <v>13185729.59354</v>
      </c>
      <c r="H659" s="19">
        <f>(L246+L327+L359)</f>
        <v>15468336.334035998</v>
      </c>
      <c r="I659" s="19">
        <f>SUM(F659:H659)</f>
        <v>42237521.886978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155133.08481806819</v>
      </c>
      <c r="G660" s="19">
        <f>(L358/IF(SUM(L357:L359)=0,1,SUM(L357:L359))*(SUM(G96:G109)))</f>
        <v>250763.85654604388</v>
      </c>
      <c r="H660" s="19">
        <f>(L359/IF(SUM(L357:L359)=0,1,SUM(L357:L359))*(SUM(G96:G109)))</f>
        <v>289140.578635888</v>
      </c>
      <c r="I660" s="19">
        <f>SUM(F660:H660)</f>
        <v>695037.52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674810.28</v>
      </c>
      <c r="G661" s="19">
        <f>(L225+L305)-(J225+J305)</f>
        <v>678374.09</v>
      </c>
      <c r="H661" s="19">
        <f>(L243+L324)-(J243+J324)</f>
        <v>632103.86</v>
      </c>
      <c r="I661" s="19">
        <f>SUM(F661:H661)</f>
        <v>1985288.23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252943.7929</v>
      </c>
      <c r="G662" s="200">
        <f>SUM(G574:G586)+SUM(I601:I603)+L611</f>
        <v>431093.86697999999</v>
      </c>
      <c r="H662" s="200">
        <f>SUM(H574:H586)+SUM(J601:J603)+L612</f>
        <v>1346847.3854799999</v>
      </c>
      <c r="I662" s="19">
        <f>SUM(F662:H662)</f>
        <v>2030885.0453599999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12500568.801683931</v>
      </c>
      <c r="G663" s="19">
        <f>G659-SUM(G660:G662)</f>
        <v>11825497.780013956</v>
      </c>
      <c r="H663" s="19">
        <f>H659-SUM(H660:H662)</f>
        <v>13200244.509920109</v>
      </c>
      <c r="I663" s="19">
        <f>I659-SUM(I660:I662)</f>
        <v>37526311.091618001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743.07</v>
      </c>
      <c r="G664" s="249">
        <v>755.54</v>
      </c>
      <c r="H664" s="249">
        <v>878.93</v>
      </c>
      <c r="I664" s="19">
        <f>SUM(F664:H664)</f>
        <v>2377.54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16822.87</v>
      </c>
      <c r="G666" s="19">
        <f>ROUND(G663/G664,2)</f>
        <v>15651.72</v>
      </c>
      <c r="H666" s="19">
        <f>ROUND(H663/H664,2)</f>
        <v>15018.54</v>
      </c>
      <c r="I666" s="19">
        <f>ROUND(I663/I664,2)</f>
        <v>15783.67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5.05</v>
      </c>
      <c r="I669" s="19">
        <f>SUM(F669:H669)</f>
        <v>5.05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16822.87</v>
      </c>
      <c r="G671" s="19">
        <f>ROUND((G663+G668)/(G664+G669),2)</f>
        <v>15651.72</v>
      </c>
      <c r="H671" s="19">
        <f>ROUND((H663+H668)/(H664+H669),2)</f>
        <v>14932.74</v>
      </c>
      <c r="I671" s="19">
        <f>ROUND((I663+I668)/(I664+I669),2)</f>
        <v>15750.22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C11" sqref="C11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Con Val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9164976.1460000034</v>
      </c>
      <c r="C9" s="230">
        <f>'DOE25'!G196+'DOE25'!G214+'DOE25'!G232+'DOE25'!G275+'DOE25'!G294+'DOE25'!G313</f>
        <v>4842627.2785400003</v>
      </c>
    </row>
    <row r="10" spans="1:3">
      <c r="A10" t="s">
        <v>779</v>
      </c>
      <c r="B10" s="241">
        <f>7908370.25+8343+443975.83</f>
        <v>8360689.0800000001</v>
      </c>
      <c r="C10" s="241">
        <f>4378812.48+297868.08</f>
        <v>4676680.5600000005</v>
      </c>
    </row>
    <row r="11" spans="1:3">
      <c r="A11" t="s">
        <v>780</v>
      </c>
      <c r="B11" s="241">
        <f>222246.14+191762.64</f>
        <v>414008.78</v>
      </c>
      <c r="C11" s="241">
        <f>B11*25%</f>
        <v>103502.19500000001</v>
      </c>
    </row>
    <row r="12" spans="1:3">
      <c r="A12" t="s">
        <v>781</v>
      </c>
      <c r="B12" s="241">
        <f>41300.99+157855.5+191121.8</f>
        <v>390278.29</v>
      </c>
      <c r="C12" s="241">
        <f>B12*0.16</f>
        <v>62444.526399999995</v>
      </c>
    </row>
    <row r="13" spans="1:3">
      <c r="A13" t="str">
        <f>IF(B9=B13,IF(C9=C13,"Check Total OK","Check Total Error"),"Check Total Error")</f>
        <v>Check Total Error</v>
      </c>
      <c r="B13" s="232">
        <f>SUM(B10:B12)</f>
        <v>9164976.1499999985</v>
      </c>
      <c r="C13" s="232">
        <f>SUM(C10:C12)</f>
        <v>4842627.2814000007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4679646.0767999999</v>
      </c>
      <c r="C18" s="230">
        <f>'DOE25'!G197+'DOE25'!G215+'DOE25'!G233+'DOE25'!G276+'DOE25'!G295+'DOE25'!G314</f>
        <v>2397198.0517679998</v>
      </c>
    </row>
    <row r="19" spans="1:3">
      <c r="A19" t="s">
        <v>779</v>
      </c>
      <c r="B19" s="241">
        <f>2332055.18-170174.33-278741.7-264666+131425.5+160368.74+108783.1</f>
        <v>2019050.4900000002</v>
      </c>
      <c r="C19" s="241">
        <f>1469299.56</f>
        <v>1469299.56</v>
      </c>
    </row>
    <row r="20" spans="1:3">
      <c r="A20" t="s">
        <v>780</v>
      </c>
      <c r="B20" s="241">
        <f>1266621.82+290738.63</f>
        <v>1557360.4500000002</v>
      </c>
      <c r="C20" s="241">
        <v>751380.87</v>
      </c>
    </row>
    <row r="21" spans="1:3">
      <c r="A21" t="s">
        <v>781</v>
      </c>
      <c r="B21" s="241">
        <f>170174.33+278741.7+264666+66379.14+88017.01+69664+165592.96</f>
        <v>1103235.1400000001</v>
      </c>
      <c r="C21" s="241">
        <f>B21*0.16</f>
        <v>176517.62240000002</v>
      </c>
    </row>
    <row r="22" spans="1:3">
      <c r="A22" t="str">
        <f>IF(B18=B22,IF(C18=C22,"Check Total OK","Check Total Error"),"Check Total Error")</f>
        <v>Check Total Error</v>
      </c>
      <c r="B22" s="232">
        <f>SUM(B19:B21)</f>
        <v>4679646.08</v>
      </c>
      <c r="C22" s="232">
        <f>SUM(C19:C21)</f>
        <v>2397198.0524000004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723975.13</v>
      </c>
      <c r="C27" s="235">
        <f>'DOE25'!G198+'DOE25'!G216+'DOE25'!G234+'DOE25'!G277+'DOE25'!G296+'DOE25'!G315</f>
        <v>369227.31630000001</v>
      </c>
    </row>
    <row r="28" spans="1:3">
      <c r="A28" t="s">
        <v>779</v>
      </c>
      <c r="B28" s="241">
        <f>39944.56+112092.57+150679+152874.5+51746+48094+57449.5+50573+60522</f>
        <v>723975.13</v>
      </c>
      <c r="C28" s="241">
        <f>369277.32</f>
        <v>369277.32</v>
      </c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Error</v>
      </c>
      <c r="B31" s="232">
        <f>SUM(B28:B30)</f>
        <v>723975.13</v>
      </c>
      <c r="C31" s="232">
        <f>SUM(C28:C30)</f>
        <v>369277.32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431273.21</v>
      </c>
      <c r="C36" s="236">
        <f>'DOE25'!G199+'DOE25'!G217+'DOE25'!G235+'DOE25'!G278+'DOE25'!G297+'DOE25'!G316</f>
        <v>219851.8371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431273.21</v>
      </c>
      <c r="C39" s="241">
        <f>219851.84</f>
        <v>219851.84</v>
      </c>
    </row>
    <row r="40" spans="1:3">
      <c r="A40" t="str">
        <f>IF(B36=B40,IF(C36=C40,"Check Total OK","Check Total Error"),"Check Total Error")</f>
        <v>Check Total Error</v>
      </c>
      <c r="B40" s="232">
        <f>SUM(B37:B39)</f>
        <v>431273.21</v>
      </c>
      <c r="C40" s="232">
        <f>SUM(C37:C39)</f>
        <v>219851.84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F37" sqref="F37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Con Val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24301853.426307999</v>
      </c>
      <c r="D5" s="20">
        <f>SUM('DOE25'!L196:L199)+SUM('DOE25'!L214:L217)+SUM('DOE25'!L232:L235)-F5-G5</f>
        <v>23845849.097307999</v>
      </c>
      <c r="E5" s="244"/>
      <c r="F5" s="256">
        <f>SUM('DOE25'!J196:J199)+SUM('DOE25'!J214:J217)+SUM('DOE25'!J232:J235)</f>
        <v>364816.24900000001</v>
      </c>
      <c r="G5" s="53">
        <f>SUM('DOE25'!K196:K199)+SUM('DOE25'!K214:K217)+SUM('DOE25'!K232:K235)</f>
        <v>91188.080000000016</v>
      </c>
      <c r="H5" s="260"/>
    </row>
    <row r="6" spans="1:9">
      <c r="A6" s="32">
        <v>2100</v>
      </c>
      <c r="B6" t="s">
        <v>801</v>
      </c>
      <c r="C6" s="246">
        <f t="shared" si="0"/>
        <v>2118405.2152280002</v>
      </c>
      <c r="D6" s="20">
        <f>'DOE25'!L201+'DOE25'!L219+'DOE25'!L237-F6-G6</f>
        <v>2093897.4452280002</v>
      </c>
      <c r="E6" s="244"/>
      <c r="F6" s="256">
        <f>'DOE25'!J201+'DOE25'!J219+'DOE25'!J237</f>
        <v>16224.27</v>
      </c>
      <c r="G6" s="53">
        <f>'DOE25'!K201+'DOE25'!K219+'DOE25'!K237</f>
        <v>8283.5</v>
      </c>
      <c r="H6" s="260"/>
    </row>
    <row r="7" spans="1:9">
      <c r="A7" s="32">
        <v>2200</v>
      </c>
      <c r="B7" t="s">
        <v>834</v>
      </c>
      <c r="C7" s="246">
        <f t="shared" si="0"/>
        <v>1308067.9073620001</v>
      </c>
      <c r="D7" s="20">
        <f>'DOE25'!L202+'DOE25'!L220+'DOE25'!L238-F7-G7</f>
        <v>1298316.097362</v>
      </c>
      <c r="E7" s="244"/>
      <c r="F7" s="256">
        <f>'DOE25'!J202+'DOE25'!J220+'DOE25'!J238</f>
        <v>9315.81</v>
      </c>
      <c r="G7" s="53">
        <f>'DOE25'!K202+'DOE25'!K220+'DOE25'!K238</f>
        <v>436</v>
      </c>
      <c r="H7" s="260"/>
    </row>
    <row r="8" spans="1:9">
      <c r="A8" s="32">
        <v>2300</v>
      </c>
      <c r="B8" t="s">
        <v>802</v>
      </c>
      <c r="C8" s="246">
        <f t="shared" si="0"/>
        <v>1631601.7206000001</v>
      </c>
      <c r="D8" s="244"/>
      <c r="E8" s="20">
        <f>'DOE25'!L203+'DOE25'!L221+'DOE25'!L239-F8-G8-D9-D11</f>
        <v>1608199.6406</v>
      </c>
      <c r="F8" s="256">
        <f>'DOE25'!J203+'DOE25'!J221+'DOE25'!J239</f>
        <v>0</v>
      </c>
      <c r="G8" s="53">
        <f>'DOE25'!K203+'DOE25'!K221+'DOE25'!K239</f>
        <v>23402.080000000002</v>
      </c>
      <c r="H8" s="260"/>
    </row>
    <row r="9" spans="1:9">
      <c r="A9" s="32">
        <v>2310</v>
      </c>
      <c r="B9" t="s">
        <v>818</v>
      </c>
      <c r="C9" s="246">
        <f t="shared" si="0"/>
        <v>239922</v>
      </c>
      <c r="D9" s="245">
        <v>239922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30507</v>
      </c>
      <c r="D10" s="244"/>
      <c r="E10" s="245">
        <v>30507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404091</v>
      </c>
      <c r="D11" s="245">
        <f>184929+142731+76431</f>
        <v>404091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2542867.4729999998</v>
      </c>
      <c r="D12" s="20">
        <f>'DOE25'!L204+'DOE25'!L222+'DOE25'!L240-F12-G12</f>
        <v>2478279.5329999998</v>
      </c>
      <c r="E12" s="244"/>
      <c r="F12" s="256">
        <f>'DOE25'!J204+'DOE25'!J222+'DOE25'!J240</f>
        <v>12601.4</v>
      </c>
      <c r="G12" s="53">
        <f>'DOE25'!K204+'DOE25'!K222+'DOE25'!K240</f>
        <v>51986.54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4432062.7464800002</v>
      </c>
      <c r="D14" s="20">
        <f>'DOE25'!L206+'DOE25'!L224+'DOE25'!L242-F14-G14</f>
        <v>4360642.5264800005</v>
      </c>
      <c r="E14" s="244"/>
      <c r="F14" s="256">
        <f>'DOE25'!J206+'DOE25'!J224+'DOE25'!J242</f>
        <v>71420.22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1973822.82</v>
      </c>
      <c r="D15" s="20">
        <f>'DOE25'!L207+'DOE25'!L225+'DOE25'!L243-F15-G15</f>
        <v>1973822.82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13245.27</v>
      </c>
      <c r="D16" s="244"/>
      <c r="E16" s="20">
        <f>'DOE25'!L208+'DOE25'!L226+'DOE25'!L244-F16-G16</f>
        <v>13245.27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2082318.26</v>
      </c>
      <c r="D25" s="244"/>
      <c r="E25" s="244"/>
      <c r="F25" s="259"/>
      <c r="G25" s="257"/>
      <c r="H25" s="258">
        <f>'DOE25'!L259+'DOE25'!L260+'DOE25'!L340+'DOE25'!L341</f>
        <v>2082318.26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873618.58779999975</v>
      </c>
      <c r="D29" s="20">
        <f>'DOE25'!L357+'DOE25'!L358+'DOE25'!L359-'DOE25'!I366-F29-G29</f>
        <v>863886.16779999982</v>
      </c>
      <c r="E29" s="244"/>
      <c r="F29" s="256">
        <f>'DOE25'!J357+'DOE25'!J358+'DOE25'!J359</f>
        <v>3639.2000000000003</v>
      </c>
      <c r="G29" s="53">
        <f>'DOE25'!K357+'DOE25'!K358+'DOE25'!K359</f>
        <v>6093.2199999999993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1955522.7280000001</v>
      </c>
      <c r="D31" s="20">
        <f>'DOE25'!L289+'DOE25'!L308+'DOE25'!L327+'DOE25'!L332+'DOE25'!L333+'DOE25'!L334-F31-G31</f>
        <v>1831317.9030000002</v>
      </c>
      <c r="E31" s="244"/>
      <c r="F31" s="256">
        <f>'DOE25'!J289+'DOE25'!J308+'DOE25'!J327+'DOE25'!J332+'DOE25'!J333+'DOE25'!J334</f>
        <v>110087.56999999999</v>
      </c>
      <c r="G31" s="53">
        <f>'DOE25'!K289+'DOE25'!K308+'DOE25'!K327+'DOE25'!K332+'DOE25'!K333+'DOE25'!K334</f>
        <v>14117.255000000001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39390024.590177998</v>
      </c>
      <c r="E33" s="247">
        <f>SUM(E5:E31)</f>
        <v>1651951.9106000001</v>
      </c>
      <c r="F33" s="247">
        <f>SUM(F5:F31)</f>
        <v>588104.71900000004</v>
      </c>
      <c r="G33" s="247">
        <f>SUM(G5:G31)</f>
        <v>195506.67500000002</v>
      </c>
      <c r="H33" s="247">
        <f>SUM(H5:H31)</f>
        <v>2082318.26</v>
      </c>
    </row>
    <row r="35" spans="2:8" ht="12" thickBot="1">
      <c r="B35" s="254" t="s">
        <v>847</v>
      </c>
      <c r="D35" s="255">
        <f>E33</f>
        <v>1651951.9106000001</v>
      </c>
      <c r="E35" s="250"/>
    </row>
    <row r="36" spans="2:8" ht="12" thickTop="1">
      <c r="B36" t="s">
        <v>815</v>
      </c>
      <c r="D36" s="20">
        <f>D33</f>
        <v>39390024.590177998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1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Con Val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1034518.39</v>
      </c>
      <c r="D8" s="95">
        <f>'DOE25'!G9</f>
        <v>82609.679999999993</v>
      </c>
      <c r="E8" s="95">
        <f>'DOE25'!H9</f>
        <v>0</v>
      </c>
      <c r="F8" s="95">
        <f>'DOE25'!I9</f>
        <v>100000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5811.82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382863.16000000003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882237.86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450000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94102</v>
      </c>
      <c r="D12" s="95">
        <f>'DOE25'!G13</f>
        <v>60724.25</v>
      </c>
      <c r="E12" s="95">
        <f>'DOE25'!H13</f>
        <v>228688.04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158763.51999999999</v>
      </c>
      <c r="D13" s="95">
        <f>'DOE25'!G14</f>
        <v>34784.04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32453.17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138630.57999999999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2314064.17</v>
      </c>
      <c r="D18" s="41">
        <f>SUM(D8:D17)</f>
        <v>210571.14</v>
      </c>
      <c r="E18" s="41">
        <f>SUM(E8:E17)</f>
        <v>228688.04</v>
      </c>
      <c r="F18" s="41">
        <f>SUM(F8:F17)</f>
        <v>100000</v>
      </c>
      <c r="G18" s="41">
        <f>SUM(G8:G17)</f>
        <v>832863.16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450000</v>
      </c>
      <c r="D21" s="95">
        <f>'DOE25'!G22</f>
        <v>301594.43</v>
      </c>
      <c r="E21" s="95">
        <f>'DOE25'!H22</f>
        <v>228688.04</v>
      </c>
      <c r="F21" s="95">
        <f>'DOE25'!I22</f>
        <v>100000</v>
      </c>
      <c r="G21" s="95">
        <f>'DOE25'!J22</f>
        <v>251955.39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324443.2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31044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805487.2</v>
      </c>
      <c r="D31" s="41">
        <f>SUM(D21:D30)</f>
        <v>301594.43</v>
      </c>
      <c r="E31" s="41">
        <f>SUM(E21:E30)</f>
        <v>228688.04</v>
      </c>
      <c r="F31" s="41">
        <f>SUM(F21:F30)</f>
        <v>100000</v>
      </c>
      <c r="G31" s="41">
        <f>SUM(G21:G30)</f>
        <v>251955.39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32453.17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138630.57999999999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-123476.45999999998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57859.66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200000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254271.63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741255.95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580907.77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116559.15000000002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1508576.9699999997</v>
      </c>
      <c r="D49" s="41">
        <f>SUM(D34:D48)</f>
        <v>-91023.289999999979</v>
      </c>
      <c r="E49" s="41">
        <f>SUM(E34:E48)</f>
        <v>0</v>
      </c>
      <c r="F49" s="41">
        <f>SUM(F34:F48)</f>
        <v>0</v>
      </c>
      <c r="G49" s="41">
        <f>SUM(G34:G48)</f>
        <v>580907.77</v>
      </c>
      <c r="H49" s="124"/>
      <c r="I49" s="124"/>
    </row>
    <row r="50" spans="1:9" ht="12" thickTop="1">
      <c r="A50" s="38" t="s">
        <v>895</v>
      </c>
      <c r="B50" s="2"/>
      <c r="C50" s="41">
        <f>C49+C31</f>
        <v>2314064.17</v>
      </c>
      <c r="D50" s="41">
        <f>D49+D31</f>
        <v>210571.14</v>
      </c>
      <c r="E50" s="41">
        <f>E49+E31</f>
        <v>228688.04</v>
      </c>
      <c r="F50" s="41">
        <f>F49+F31</f>
        <v>100000</v>
      </c>
      <c r="G50" s="41">
        <f>G49+G31</f>
        <v>832863.16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24408409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313173.29000000004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7924.02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10699.81</v>
      </c>
      <c r="D58" s="95">
        <f>'DOE25'!G95</f>
        <v>239.39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655861.34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84688.91</v>
      </c>
      <c r="D60" s="95">
        <f>SUM('DOE25'!G97:G109)</f>
        <v>39176.18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416486.03</v>
      </c>
      <c r="D61" s="130">
        <f>SUM(D56:D60)</f>
        <v>695276.91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24824895.030000001</v>
      </c>
      <c r="D62" s="22">
        <f>D55+D61</f>
        <v>695276.91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8852218.1400000006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5166621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7669.86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14026509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1480586.55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462547.08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39978.909999999996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105020.78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1983112.54</v>
      </c>
      <c r="D77" s="130">
        <f>SUM(D71:D76)</f>
        <v>105020.78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16009621.539999999</v>
      </c>
      <c r="D80" s="130">
        <f>SUM(D78:D79)+D77+D69</f>
        <v>105020.78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799734.19000000006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277876.28999999998</v>
      </c>
      <c r="D87" s="95">
        <f>SUM('DOE25'!G152:G160)</f>
        <v>273496.86</v>
      </c>
      <c r="E87" s="95">
        <f>SUM('DOE25'!H152:H160)</f>
        <v>1220984.23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277876.28999999998</v>
      </c>
      <c r="D90" s="131">
        <f>SUM(D84:D89)</f>
        <v>273496.86</v>
      </c>
      <c r="E90" s="131">
        <f>SUM(E84:E89)</f>
        <v>2020718.42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276313.21999999997</v>
      </c>
      <c r="E95" s="95">
        <f>'DOE25'!H178</f>
        <v>0</v>
      </c>
      <c r="F95" s="95">
        <f>'DOE25'!I178</f>
        <v>0</v>
      </c>
      <c r="G95" s="95">
        <f>'DOE25'!J178</f>
        <v>150000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276313.21999999997</v>
      </c>
      <c r="E102" s="86">
        <f>SUM(E92:E101)</f>
        <v>0</v>
      </c>
      <c r="F102" s="86">
        <f>SUM(F92:F101)</f>
        <v>0</v>
      </c>
      <c r="G102" s="86">
        <f>SUM(G92:G101)</f>
        <v>150000</v>
      </c>
    </row>
    <row r="103" spans="1:7" ht="12.75" thickTop="1" thickBot="1">
      <c r="A103" s="33" t="s">
        <v>765</v>
      </c>
      <c r="C103" s="86">
        <f>C62+C80+C90+C102</f>
        <v>41112392.859999999</v>
      </c>
      <c r="D103" s="86">
        <f>D62+D80+D90+D102</f>
        <v>1350107.77</v>
      </c>
      <c r="E103" s="86">
        <f>E62+E80+E90+E102</f>
        <v>2020718.42</v>
      </c>
      <c r="F103" s="86">
        <f>F62+F80+F90+F102</f>
        <v>0</v>
      </c>
      <c r="G103" s="86">
        <f>G62+G80+G102</f>
        <v>150000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14222376.61654</v>
      </c>
      <c r="D108" s="24" t="s">
        <v>289</v>
      </c>
      <c r="E108" s="95">
        <f>('DOE25'!L275)+('DOE25'!L294)+('DOE25'!L313)</f>
        <v>926268.76800000004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7989035.0763680004</v>
      </c>
      <c r="D109" s="24" t="s">
        <v>289</v>
      </c>
      <c r="E109" s="95">
        <f>('DOE25'!L276)+('DOE25'!L295)+('DOE25'!L314)</f>
        <v>870364.81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1145458.8362999998</v>
      </c>
      <c r="D110" s="24" t="s">
        <v>289</v>
      </c>
      <c r="E110" s="95">
        <f>('DOE25'!L277)+('DOE25'!L296)+('DOE25'!L315)</f>
        <v>98684.650000000009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944982.89710000018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13215.18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24301853.426308002</v>
      </c>
      <c r="D114" s="86">
        <f>SUM(D108:D113)</f>
        <v>0</v>
      </c>
      <c r="E114" s="86">
        <f>SUM(E108:E113)</f>
        <v>1908533.4080000001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2118405.2152280002</v>
      </c>
      <c r="D117" s="24" t="s">
        <v>289</v>
      </c>
      <c r="E117" s="95">
        <f>+('DOE25'!L280)+('DOE25'!L299)+('DOE25'!L318)</f>
        <v>6972.71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1308067.9073620001</v>
      </c>
      <c r="D118" s="24" t="s">
        <v>289</v>
      </c>
      <c r="E118" s="95">
        <f>+('DOE25'!L281)+('DOE25'!L300)+('DOE25'!L319)</f>
        <v>25100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2275614.7206000001</v>
      </c>
      <c r="D119" s="24" t="s">
        <v>289</v>
      </c>
      <c r="E119" s="95">
        <f>+('DOE25'!L282)+('DOE25'!L301)+('DOE25'!L320)</f>
        <v>3451.2000000000003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2542867.4729999998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4432062.7464800002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1973822.82</v>
      </c>
      <c r="D123" s="24" t="s">
        <v>289</v>
      </c>
      <c r="E123" s="95">
        <f>+('DOE25'!L286)+('DOE25'!L305)+('DOE25'!L324)</f>
        <v>11465.41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13245.27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1329274.7599999998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14664086.15267</v>
      </c>
      <c r="D127" s="86">
        <f>SUM(D117:D126)</f>
        <v>1329274.7599999998</v>
      </c>
      <c r="E127" s="86">
        <f>SUM(E117:E126)</f>
        <v>46989.319999999992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1519966.97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562351.29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65195.689999999995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276313.21999999997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-1955.390000000014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151955.39000000001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2508631.48</v>
      </c>
      <c r="D143" s="141">
        <f>SUM(D129:D142)</f>
        <v>0</v>
      </c>
      <c r="E143" s="141">
        <f>SUM(E129:E142)</f>
        <v>65195.689999999995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41474571.058977999</v>
      </c>
      <c r="D144" s="86">
        <f>(D114+D127+D143)</f>
        <v>1329274.7599999998</v>
      </c>
      <c r="E144" s="86">
        <f>(E114+E127+E143)</f>
        <v>2020718.4180000001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10</v>
      </c>
      <c r="C150" s="153">
        <f>'DOE25'!G489</f>
        <v>15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03/2002</v>
      </c>
      <c r="C151" s="152" t="str">
        <f>'DOE25'!G490</f>
        <v>10/1998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07/12</v>
      </c>
      <c r="C152" s="152" t="str">
        <f>'DOE25'!G491</f>
        <v>10/2012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9000000</v>
      </c>
      <c r="C153" s="137">
        <f>'DOE25'!G492</f>
        <v>1000000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4.87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1597552.67</v>
      </c>
      <c r="C155" s="137">
        <f>'DOE25'!G494</f>
        <v>909165.10000000009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2506717.77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1052173.5699999998</v>
      </c>
      <c r="C157" s="137">
        <f>'DOE25'!G496</f>
        <v>467793.4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1519966.9699999997</v>
      </c>
    </row>
    <row r="158" spans="1:9">
      <c r="A158" s="22" t="s">
        <v>35</v>
      </c>
      <c r="B158" s="137">
        <f>'DOE25'!F497</f>
        <v>545379.1</v>
      </c>
      <c r="C158" s="137">
        <f>'DOE25'!G497</f>
        <v>441371.7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986750.8</v>
      </c>
    </row>
    <row r="159" spans="1:9">
      <c r="A159" s="22" t="s">
        <v>36</v>
      </c>
      <c r="B159" s="137">
        <f>'DOE25'!F498</f>
        <v>13280.03</v>
      </c>
      <c r="C159" s="137">
        <f>'DOE25'!G498</f>
        <v>523628.3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536908.32999999996</v>
      </c>
    </row>
    <row r="160" spans="1:9">
      <c r="A160" s="22" t="s">
        <v>37</v>
      </c>
      <c r="B160" s="137">
        <f>'DOE25'!F499</f>
        <v>558659.13</v>
      </c>
      <c r="C160" s="137">
        <f>'DOE25'!G499</f>
        <v>965000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1523659.13</v>
      </c>
    </row>
    <row r="161" spans="1:7">
      <c r="A161" s="22" t="s">
        <v>38</v>
      </c>
      <c r="B161" s="137">
        <f>'DOE25'!F500</f>
        <v>545379.1</v>
      </c>
      <c r="C161" s="137">
        <f>'DOE25'!G500</f>
        <v>441371.7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986750.8</v>
      </c>
    </row>
    <row r="162" spans="1:7">
      <c r="A162" s="22" t="s">
        <v>39</v>
      </c>
      <c r="B162" s="137">
        <f>'DOE25'!F501</f>
        <v>13280.03</v>
      </c>
      <c r="C162" s="137">
        <f>'DOE25'!G501</f>
        <v>523628.3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536908.32999999996</v>
      </c>
    </row>
    <row r="163" spans="1:7">
      <c r="A163" s="22" t="s">
        <v>246</v>
      </c>
      <c r="B163" s="137">
        <f>'DOE25'!F502</f>
        <v>558659.13</v>
      </c>
      <c r="C163" s="137">
        <f>'DOE25'!G502</f>
        <v>965000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1523659.13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Con Val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16823</v>
      </c>
    </row>
    <row r="5" spans="1:4">
      <c r="B5" t="s">
        <v>704</v>
      </c>
      <c r="C5" s="179">
        <f>IF('DOE25'!G664+'DOE25'!G669=0,0,ROUND('DOE25'!G671,0))</f>
        <v>15652</v>
      </c>
    </row>
    <row r="6" spans="1:4">
      <c r="B6" t="s">
        <v>62</v>
      </c>
      <c r="C6" s="179">
        <f>IF('DOE25'!H664+'DOE25'!H669=0,0,ROUND('DOE25'!H671,0))</f>
        <v>14933</v>
      </c>
    </row>
    <row r="7" spans="1:4">
      <c r="B7" t="s">
        <v>705</v>
      </c>
      <c r="C7" s="179">
        <f>IF('DOE25'!I664+'DOE25'!I669=0,0,ROUND('DOE25'!I671,0))</f>
        <v>15750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15148645</v>
      </c>
      <c r="D10" s="182">
        <f>ROUND((C10/$C$28)*100,1)</f>
        <v>36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8859400</v>
      </c>
      <c r="D11" s="182">
        <f>ROUND((C11/$C$28)*100,1)</f>
        <v>21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1244143</v>
      </c>
      <c r="D12" s="182">
        <f>ROUND((C12/$C$28)*100,1)</f>
        <v>3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944983</v>
      </c>
      <c r="D13" s="182">
        <f>ROUND((C13/$C$28)*100,1)</f>
        <v>2.2000000000000002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2125378</v>
      </c>
      <c r="D15" s="182">
        <f t="shared" ref="D15:D27" si="0">ROUND((C15/$C$28)*100,1)</f>
        <v>5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1333168</v>
      </c>
      <c r="D16" s="182">
        <f t="shared" si="0"/>
        <v>3.2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2292311</v>
      </c>
      <c r="D17" s="182">
        <f t="shared" si="0"/>
        <v>5.4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2542867</v>
      </c>
      <c r="D18" s="182">
        <f t="shared" si="0"/>
        <v>6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4432063</v>
      </c>
      <c r="D20" s="182">
        <f t="shared" si="0"/>
        <v>10.5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1985288</v>
      </c>
      <c r="D21" s="182">
        <f t="shared" si="0"/>
        <v>4.7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13215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562351</v>
      </c>
      <c r="D25" s="182">
        <f t="shared" si="0"/>
        <v>1.3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634237.48</v>
      </c>
      <c r="D27" s="182">
        <f t="shared" si="0"/>
        <v>1.5</v>
      </c>
    </row>
    <row r="28" spans="1:4">
      <c r="B28" s="187" t="s">
        <v>723</v>
      </c>
      <c r="C28" s="180">
        <f>SUM(C10:C27)</f>
        <v>42118049.479999997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42118049.479999997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1519967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24408409</v>
      </c>
      <c r="D35" s="182">
        <f t="shared" ref="D35:D40" si="1">ROUND((C35/$C$41)*100,1)</f>
        <v>56.1</v>
      </c>
    </row>
    <row r="36" spans="1:4">
      <c r="B36" s="185" t="s">
        <v>743</v>
      </c>
      <c r="C36" s="179">
        <f>SUM('DOE25'!F111:J111)-SUM('DOE25'!G96:G109)+('DOE25'!F173+'DOE25'!F174+'DOE25'!I173+'DOE25'!I174)-C35</f>
        <v>416725.41999999806</v>
      </c>
      <c r="D36" s="182">
        <f t="shared" si="1"/>
        <v>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14026509</v>
      </c>
      <c r="D37" s="182">
        <f t="shared" si="1"/>
        <v>32.200000000000003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2088133</v>
      </c>
      <c r="D38" s="182">
        <f t="shared" si="1"/>
        <v>4.8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2572092</v>
      </c>
      <c r="D39" s="182">
        <f t="shared" si="1"/>
        <v>5.9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43511868.420000002</v>
      </c>
      <c r="D41" s="184">
        <f>SUM(D35:D40)</f>
        <v>100.00000000000001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12" sqref="A12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Con Val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>
        <v>1</v>
      </c>
      <c r="B4" s="220">
        <v>43</v>
      </c>
      <c r="C4" s="280" t="s">
        <v>909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>
        <v>3</v>
      </c>
      <c r="B5" s="220">
        <v>62</v>
      </c>
      <c r="C5" s="280" t="s">
        <v>910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>
        <v>4</v>
      </c>
      <c r="B6" s="220">
        <v>109</v>
      </c>
      <c r="C6" s="280" t="s">
        <v>911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>
        <v>1</v>
      </c>
      <c r="B7" s="220">
        <v>30</v>
      </c>
      <c r="C7" s="280" t="s">
        <v>912</v>
      </c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>
        <v>1</v>
      </c>
      <c r="B8" s="220">
        <v>31</v>
      </c>
      <c r="C8" s="280" t="s">
        <v>913</v>
      </c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2012-09-17T15:18:45Z</cp:lastPrinted>
  <dcterms:created xsi:type="dcterms:W3CDTF">1997-12-04T19:04:30Z</dcterms:created>
  <dcterms:modified xsi:type="dcterms:W3CDTF">2012-11-21T14:21:12Z</dcterms:modified>
</cp:coreProperties>
</file>