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32" i="1" l="1"/>
  <c r="F232" i="1"/>
  <c r="G214" i="1"/>
  <c r="F214" i="1"/>
  <c r="G196" i="1"/>
  <c r="F196" i="1"/>
  <c r="F9" i="1" l="1"/>
  <c r="F40" i="2" l="1"/>
  <c r="D39" i="2"/>
  <c r="G654" i="1" l="1"/>
  <c r="F47" i="2" l="1"/>
  <c r="E47" i="2"/>
  <c r="D47" i="2"/>
  <c r="C47" i="2"/>
  <c r="F46" i="2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E110" i="2" s="1"/>
  <c r="L316" i="1"/>
  <c r="L318" i="1"/>
  <c r="E117" i="2" s="1"/>
  <c r="L319" i="1"/>
  <c r="E118" i="2" s="1"/>
  <c r="L320" i="1"/>
  <c r="L321" i="1"/>
  <c r="L322" i="1"/>
  <c r="L323" i="1"/>
  <c r="L324" i="1"/>
  <c r="L325" i="1"/>
  <c r="L332" i="1"/>
  <c r="E113" i="2" s="1"/>
  <c r="L333" i="1"/>
  <c r="L334" i="1"/>
  <c r="L259" i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9" i="10"/>
  <c r="L249" i="1"/>
  <c r="L331" i="1"/>
  <c r="L253" i="1"/>
  <c r="C25" i="10"/>
  <c r="L267" i="1"/>
  <c r="L268" i="1"/>
  <c r="C142" i="2" s="1"/>
  <c r="L348" i="1"/>
  <c r="L349" i="1"/>
  <c r="I664" i="1"/>
  <c r="I669" i="1"/>
  <c r="F661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0" i="2"/>
  <c r="A1" i="2"/>
  <c r="A2" i="2"/>
  <c r="C8" i="2"/>
  <c r="D8" i="2"/>
  <c r="D18" i="2" s="1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9" i="2"/>
  <c r="E111" i="2"/>
  <c r="C112" i="2"/>
  <c r="E112" i="2"/>
  <c r="C113" i="2"/>
  <c r="D114" i="2"/>
  <c r="F114" i="2"/>
  <c r="G114" i="2"/>
  <c r="E119" i="2"/>
  <c r="E120" i="2"/>
  <c r="C121" i="2"/>
  <c r="E121" i="2"/>
  <c r="C122" i="2"/>
  <c r="E122" i="2"/>
  <c r="E123" i="2"/>
  <c r="E124" i="2"/>
  <c r="F127" i="2"/>
  <c r="G127" i="2"/>
  <c r="C129" i="2"/>
  <c r="E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H433" i="1" s="1"/>
  <c r="I432" i="1"/>
  <c r="J432" i="1"/>
  <c r="F433" i="1"/>
  <c r="J433" i="1"/>
  <c r="F445" i="1"/>
  <c r="G445" i="1"/>
  <c r="H445" i="1"/>
  <c r="I445" i="1"/>
  <c r="G641" i="1" s="1"/>
  <c r="F451" i="1"/>
  <c r="G451" i="1"/>
  <c r="H451" i="1"/>
  <c r="I451" i="1"/>
  <c r="F459" i="1"/>
  <c r="F460" i="1" s="1"/>
  <c r="H638" i="1" s="1"/>
  <c r="G459" i="1"/>
  <c r="H459" i="1"/>
  <c r="G460" i="1"/>
  <c r="H639" i="1" s="1"/>
  <c r="H460" i="1"/>
  <c r="H640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9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G640" i="1"/>
  <c r="G642" i="1"/>
  <c r="H642" i="1"/>
  <c r="G643" i="1"/>
  <c r="H644" i="1"/>
  <c r="G651" i="1"/>
  <c r="H651" i="1"/>
  <c r="J651" i="1"/>
  <c r="G652" i="1"/>
  <c r="H652" i="1"/>
  <c r="J652" i="1" s="1"/>
  <c r="G653" i="1"/>
  <c r="H653" i="1"/>
  <c r="J653" i="1" s="1"/>
  <c r="H654" i="1"/>
  <c r="L255" i="1"/>
  <c r="G163" i="2"/>
  <c r="F31" i="2"/>
  <c r="C26" i="10"/>
  <c r="L350" i="1"/>
  <c r="C69" i="2"/>
  <c r="G8" i="2"/>
  <c r="G161" i="2"/>
  <c r="D18" i="13"/>
  <c r="C18" i="13" s="1"/>
  <c r="F102" i="2"/>
  <c r="E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E143" i="2"/>
  <c r="G102" i="2"/>
  <c r="E102" i="2"/>
  <c r="D90" i="2"/>
  <c r="F90" i="2"/>
  <c r="E31" i="2"/>
  <c r="C31" i="2"/>
  <c r="D19" i="13"/>
  <c r="C19" i="13" s="1"/>
  <c r="E13" i="13"/>
  <c r="C13" i="13" s="1"/>
  <c r="I662" i="1" l="1"/>
  <c r="L543" i="1"/>
  <c r="L533" i="1"/>
  <c r="L528" i="1"/>
  <c r="F544" i="1"/>
  <c r="L523" i="1"/>
  <c r="K502" i="1"/>
  <c r="G159" i="2"/>
  <c r="G160" i="2"/>
  <c r="K499" i="1"/>
  <c r="I459" i="1"/>
  <c r="I460" i="1" s="1"/>
  <c r="H641" i="1" s="1"/>
  <c r="J641" i="1" s="1"/>
  <c r="F129" i="2"/>
  <c r="F143" i="2" s="1"/>
  <c r="F144" i="2" s="1"/>
  <c r="L381" i="1"/>
  <c r="G635" i="1" s="1"/>
  <c r="D126" i="2"/>
  <c r="D127" i="2" s="1"/>
  <c r="H660" i="1"/>
  <c r="D29" i="13"/>
  <c r="C29" i="13" s="1"/>
  <c r="G660" i="1"/>
  <c r="L361" i="1"/>
  <c r="C27" i="10" s="1"/>
  <c r="F660" i="1"/>
  <c r="C24" i="10"/>
  <c r="C12" i="10"/>
  <c r="L327" i="1"/>
  <c r="C11" i="10"/>
  <c r="I337" i="1"/>
  <c r="I351" i="1" s="1"/>
  <c r="E108" i="2"/>
  <c r="C21" i="10"/>
  <c r="E109" i="2"/>
  <c r="F31" i="13"/>
  <c r="J337" i="1"/>
  <c r="J351" i="1" s="1"/>
  <c r="L289" i="1"/>
  <c r="H646" i="1"/>
  <c r="G650" i="1"/>
  <c r="J650" i="1" s="1"/>
  <c r="H661" i="1"/>
  <c r="D14" i="13"/>
  <c r="C14" i="13" s="1"/>
  <c r="C118" i="2"/>
  <c r="C117" i="2"/>
  <c r="K256" i="1"/>
  <c r="K270" i="1" s="1"/>
  <c r="C111" i="2"/>
  <c r="C110" i="2"/>
  <c r="L246" i="1"/>
  <c r="I256" i="1"/>
  <c r="I270" i="1" s="1"/>
  <c r="C124" i="2"/>
  <c r="D15" i="13"/>
  <c r="C15" i="13" s="1"/>
  <c r="G649" i="1"/>
  <c r="J649" i="1" s="1"/>
  <c r="I661" i="1"/>
  <c r="C123" i="2"/>
  <c r="C18" i="10"/>
  <c r="C16" i="10"/>
  <c r="C15" i="10"/>
  <c r="C13" i="10"/>
  <c r="L228" i="1"/>
  <c r="G256" i="1"/>
  <c r="G270" i="1" s="1"/>
  <c r="C10" i="10"/>
  <c r="F256" i="1"/>
  <c r="F270" i="1" s="1"/>
  <c r="C17" i="10"/>
  <c r="G648" i="1"/>
  <c r="J648" i="1" s="1"/>
  <c r="D12" i="13"/>
  <c r="C12" i="13" s="1"/>
  <c r="C120" i="2"/>
  <c r="G33" i="13"/>
  <c r="E8" i="13"/>
  <c r="C8" i="13" s="1"/>
  <c r="C119" i="2"/>
  <c r="D7" i="13"/>
  <c r="C7" i="13" s="1"/>
  <c r="D6" i="13"/>
  <c r="C6" i="13" s="1"/>
  <c r="A22" i="12"/>
  <c r="C108" i="2"/>
  <c r="C114" i="2" s="1"/>
  <c r="L210" i="1"/>
  <c r="G644" i="1"/>
  <c r="E90" i="2"/>
  <c r="E103" i="2" s="1"/>
  <c r="F139" i="1"/>
  <c r="C61" i="2"/>
  <c r="C62" i="2" s="1"/>
  <c r="G621" i="1"/>
  <c r="J619" i="1"/>
  <c r="H51" i="1"/>
  <c r="H618" i="1" s="1"/>
  <c r="J618" i="1" s="1"/>
  <c r="D50" i="2"/>
  <c r="G51" i="1"/>
  <c r="H617" i="1" s="1"/>
  <c r="J617" i="1" s="1"/>
  <c r="C18" i="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H139" i="1"/>
  <c r="C38" i="10" s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H544" i="1"/>
  <c r="K550" i="1"/>
  <c r="J647" i="1" l="1"/>
  <c r="L544" i="1"/>
  <c r="K551" i="1"/>
  <c r="J621" i="1"/>
  <c r="G50" i="2"/>
  <c r="I660" i="1"/>
  <c r="G634" i="1"/>
  <c r="J634" i="1" s="1"/>
  <c r="H659" i="1"/>
  <c r="H663" i="1" s="1"/>
  <c r="H671" i="1" s="1"/>
  <c r="C6" i="10" s="1"/>
  <c r="E114" i="2"/>
  <c r="E144" i="2" s="1"/>
  <c r="C127" i="2"/>
  <c r="L256" i="1"/>
  <c r="L270" i="1" s="1"/>
  <c r="G631" i="1" s="1"/>
  <c r="J631" i="1" s="1"/>
  <c r="C28" i="10"/>
  <c r="D24" i="10" s="1"/>
  <c r="F659" i="1"/>
  <c r="F663" i="1" s="1"/>
  <c r="F666" i="1" s="1"/>
  <c r="J270" i="1"/>
  <c r="C39" i="10"/>
  <c r="H192" i="1"/>
  <c r="G628" i="1" s="1"/>
  <c r="J628" i="1" s="1"/>
  <c r="C103" i="2"/>
  <c r="F192" i="1"/>
  <c r="G626" i="1" s="1"/>
  <c r="J626" i="1" s="1"/>
  <c r="C36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H666" i="1" l="1"/>
  <c r="C144" i="2"/>
  <c r="D12" i="10"/>
  <c r="D15" i="10"/>
  <c r="D26" i="10"/>
  <c r="D13" i="10"/>
  <c r="D25" i="10"/>
  <c r="D10" i="10"/>
  <c r="D18" i="10"/>
  <c r="D23" i="10"/>
  <c r="D20" i="10"/>
  <c r="D19" i="10"/>
  <c r="D22" i="10"/>
  <c r="D27" i="10"/>
  <c r="C30" i="10"/>
  <c r="D21" i="10"/>
  <c r="D16" i="10"/>
  <c r="D17" i="10"/>
  <c r="D11" i="10"/>
  <c r="F671" i="1"/>
  <c r="C4" i="10" s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5" i="10"/>
  <c r="D38" i="10"/>
  <c r="D37" i="10"/>
  <c r="D36" i="10"/>
  <c r="D40" i="10"/>
  <c r="I666" i="1"/>
  <c r="I671" i="1"/>
  <c r="C7" i="10" s="1"/>
  <c r="G671" i="1"/>
  <c r="C5" i="10" s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<sst xmlns="http://schemas.openxmlformats.org/spreadsheetml/2006/main" count="3953" uniqueCount="919">
  <si>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</si>
  <si>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</si>
  <si>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</si>
  <si>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</si>
  <si>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</si>
  <si>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</si>
  <si>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</si>
  <si>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</si>
  <si>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</si>
  <si>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</si>
  <si>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</si>
  <si>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</si>
  <si>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</si>
  <si>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</si>
  <si>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</si>
  <si>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</si>
  <si>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</si>
  <si>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</si>
  <si>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</si>
  <si>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</si>
  <si>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</si>
  <si>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</si>
  <si>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</si>
  <si>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</si>
  <si>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</si>
  <si>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</si>
  <si>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</si>
  <si>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</si>
  <si>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</si>
  <si>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</si>
  <si>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</si>
  <si>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</si>
  <si>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</si>
  <si>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</si>
  <si>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</si>
  <si>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</si>
  <si>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</si>
  <si>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</si>
  <si>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</si>
  <si>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</si>
  <si>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</si>
  <si>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</si>
  <si>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</si>
  <si>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</si>
  <si>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</si>
  <si>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</si>
  <si>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</si>
  <si>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</si>
  <si>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</si>
  <si>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</si>
  <si>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</si>
  <si>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</si>
  <si>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</si>
  <si>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</si>
  <si>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</si>
  <si>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</si>
  <si>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</si>
  <si>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</si>
  <si>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</si>
  <si>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</si>
  <si>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</si>
  <si>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</si>
  <si>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</si>
  <si>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</si>
  <si>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</si>
  <si>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</si>
  <si>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</si>
  <si>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</si>
  <si>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</si>
  <si>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</si>
  <si>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</si>
  <si>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</si>
  <si>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</si>
  <si>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</si>
  <si>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</si>
  <si>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</si>
  <si>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</si>
  <si>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</si>
  <si>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</si>
  <si>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</si>
  <si>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</si>
  <si>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</si>
  <si>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</si>
  <si>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</si>
  <si>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</si>
  <si>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</si>
  <si>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</si>
  <si>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</si>
  <si>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</si>
  <si>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</si>
  <si>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</si>
  <si>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</si>
  <si>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</si>
  <si>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</si>
  <si>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</si>
  <si>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</si>
  <si>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</si>
  <si>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</si>
  <si>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</si>
  <si>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</si>
  <si>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</si>
  <si>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</si>
  <si>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</si>
  <si>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</si>
  <si>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</si>
  <si>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</si>
  <si>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</si>
  <si>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</si>
  <si>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</si>
  <si>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</si>
  <si>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</si>
  <si>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</si>
  <si>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</si>
  <si>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</si>
  <si>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</si>
  <si>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</si>
  <si>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</si>
  <si>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</si>
  <si>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</si>
  <si>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</si>
  <si>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</si>
  <si>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</si>
  <si>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</si>
  <si>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</si>
  <si>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</si>
  <si>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</si>
  <si>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</si>
  <si>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</si>
  <si>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</si>
  <si>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</si>
  <si>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</si>
  <si>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</si>
  <si>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</si>
  <si>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</si>
  <si>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</si>
  <si>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</si>
  <si>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</si>
  <si>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</si>
  <si>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</si>
  <si>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</si>
  <si>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</si>
  <si>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</si>
  <si>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</si>
  <si>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</si>
  <si>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</si>
  <si>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</si>
  <si>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</si>
  <si>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</si>
  <si>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</si>
  <si>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</si>
  <si>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</si>
  <si>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</si>
  <si>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</si>
  <si>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</si>
  <si>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</si>
  <si>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</si>
  <si>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</si>
  <si>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</si>
  <si>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</si>
  <si>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</si>
  <si>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</si>
  <si>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</si>
  <si>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</si>
  <si>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</si>
  <si>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</si>
  <si>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</si>
  <si>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</si>
  <si>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</si>
  <si>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</si>
  <si>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</si>
  <si>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</si>
  <si>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</si>
  <si>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</si>
  <si>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</si>
  <si>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</si>
  <si>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</si>
  <si>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</si>
  <si>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</si>
  <si>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</si>
  <si>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</si>
  <si>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</si>
  <si>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</si>
  <si>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</si>
  <si>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</si>
  <si>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</si>
  <si>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</si>
  <si>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</si>
  <si>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</si>
  <si>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</si>
  <si>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</si>
  <si>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</si>
  <si>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</si>
  <si>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</si>
  <si>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</si>
  <si>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</si>
  <si>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</si>
  <si>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</si>
  <si>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</si>
  <si>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</si>
  <si>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</si>
  <si>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</si>
  <si>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</si>
  <si>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</si>
  <si>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</si>
  <si>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</si>
  <si>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</si>
  <si>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</si>
  <si>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</si>
  <si>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</si>
  <si>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</si>
  <si>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</si>
  <si>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</si>
  <si>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</si>
  <si>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</si>
  <si>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</si>
  <si>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</si>
  <si>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</si>
  <si>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</si>
  <si>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</si>
  <si>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</si>
  <si>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</si>
  <si>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</si>
  <si>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</si>
  <si>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</si>
  <si>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</si>
  <si>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</si>
  <si>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</si>
  <si>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</si>
  <si>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</si>
  <si>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</si>
  <si>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</si>
  <si>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</si>
  <si>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</si>
  <si>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</si>
  <si>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</si>
  <si>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</si>
  <si>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</si>
  <si>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</si>
  <si>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</si>
  <si>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</si>
  <si>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</si>
  <si>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</si>
  <si>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</si>
  <si>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</si>
  <si>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</si>
  <si>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</si>
  <si>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</si>
  <si>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</si>
  <si>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</si>
  <si>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</si>
  <si>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</si>
  <si>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</si>
  <si>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</si>
  <si>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</si>
  <si>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</si>
  <si>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</si>
  <si>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</si>
  <si>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</si>
  <si>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</si>
  <si>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</si>
  <si>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</si>
  <si>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</si>
  <si>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</si>
  <si>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</si>
  <si>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</si>
  <si>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</si>
  <si>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</si>
  <si>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</si>
  <si>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</si>
  <si>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</si>
  <si>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</si>
  <si>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</si>
  <si>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</si>
  <si>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</si>
  <si>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</si>
  <si>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</si>
  <si>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</si>
  <si>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</si>
  <si>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</si>
  <si>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</si>
  <si>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</si>
  <si>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</si>
  <si>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</si>
  <si>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</si>
  <si>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</si>
  <si>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</si>
  <si>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</si>
  <si>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</si>
  <si>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</si>
  <si>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</si>
  <si>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</si>
  <si>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</si>
  <si>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</si>
  <si>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</si>
  <si>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</si>
  <si>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</si>
  <si>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</si>
  <si>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</si>
  <si>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</si>
  <si>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</si>
  <si>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</si>
  <si>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</si>
  <si>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</si>
  <si>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</si>
  <si>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</si>
  <si>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</si>
  <si>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</si>
  <si>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</si>
  <si>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</si>
  <si>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</si>
  <si>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</si>
  <si>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</si>
  <si>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</si>
  <si>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</si>
  <si>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</si>
  <si>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</si>
  <si>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</si>
  <si>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</si>
  <si>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</si>
  <si>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</si>
  <si>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</si>
  <si>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</si>
  <si>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</si>
  <si>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</si>
  <si>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</si>
  <si>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</si>
  <si>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</si>
  <si>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</si>
  <si>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</si>
  <si>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</si>
  <si>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</si>
  <si>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</si>
  <si>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</si>
  <si>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</si>
  <si>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</si>
  <si>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</si>
  <si>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</si>
  <si>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</si>
  <si>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</si>
  <si>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</si>
  <si>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</si>
  <si>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</si>
  <si>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</si>
  <si>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</si>
  <si>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</si>
  <si>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</si>
  <si>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</si>
  <si>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</si>
  <si>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</si>
  <si>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</si>
  <si>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</si>
  <si>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</si>
  <si>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</si>
  <si>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</si>
  <si>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</si>
  <si>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</si>
  <si>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</si>
  <si>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</si>
  <si>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</si>
  <si>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</si>
  <si>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</si>
  <si>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</si>
  <si>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</si>
  <si>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</si>
  <si>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</si>
  <si>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</si>
  <si>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</si>
  <si>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</si>
  <si>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</si>
  <si>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</si>
  <si>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</si>
  <si>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</si>
  <si>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</si>
  <si>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</si>
  <si>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</si>
  <si>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</si>
  <si>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</si>
  <si>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</si>
  <si>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</si>
  <si>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</si>
  <si>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</si>
  <si>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</si>
  <si>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</si>
  <si>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</si>
  <si>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</si>
  <si>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</si>
  <si>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</si>
  <si>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</si>
  <si>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</si>
  <si>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</si>
  <si>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</si>
  <si>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</si>
  <si>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</si>
  <si>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</si>
  <si>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</si>
  <si>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</si>
  <si>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</si>
  <si>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</si>
  <si>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</si>
  <si>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</si>
  <si>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</si>
  <si>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</si>
  <si>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</si>
  <si>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</si>
  <si>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</si>
  <si>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</si>
  <si>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</si>
  <si>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</si>
  <si>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</si>
  <si>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</si>
  <si>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</si>
  <si>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</si>
  <si>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</si>
  <si>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</si>
  <si>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</si>
  <si>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</si>
  <si>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</si>
  <si>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</si>
  <si>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</si>
  <si>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</si>
  <si>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</si>
  <si>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</si>
  <si>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</si>
  <si>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</si>
  <si>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</si>
  <si>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</si>
  <si>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</si>
  <si>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</si>
  <si>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</si>
  <si>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</si>
  <si>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</si>
  <si>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</si>
  <si>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</si>
  <si>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</si>
  <si>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</si>
  <si>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</si>
  <si>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</si>
  <si>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</si>
  <si>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</si>
  <si>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</si>
  <si>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</si>
  <si>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</si>
  <si>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</si>
  <si>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</si>
  <si>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</si>
  <si>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</si>
  <si>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</si>
  <si>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</si>
  <si>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</si>
  <si>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</si>
  <si>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</si>
  <si>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</si>
  <si>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</si>
  <si>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</si>
  <si>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</si>
  <si>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</si>
  <si>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</si>
  <si>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</si>
  <si>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</si>
  <si>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</si>
  <si>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</si>
  <si>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</si>
  <si>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</si>
  <si>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</si>
  <si>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</si>
  <si>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</si>
  <si>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</si>
  <si>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</si>
  <si>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</si>
  <si>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</si>
  <si>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</si>
  <si>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</si>
  <si>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</si>
  <si>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</si>
  <si>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</si>
  <si>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</si>
  <si>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</si>
  <si>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</si>
  <si>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</si>
  <si>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</si>
  <si>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</si>
  <si>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</si>
  <si>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</si>
  <si>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</si>
  <si>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</si>
  <si>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</si>
  <si>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</si>
  <si>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</si>
  <si>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</si>
  <si>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</si>
  <si>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</si>
  <si>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</si>
  <si>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</si>
  <si>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</si>
  <si>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</si>
  <si>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</si>
  <si>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</si>
  <si>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</si>
  <si>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</si>
  <si>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</si>
  <si>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</si>
  <si>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</si>
  <si>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</si>
  <si>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</si>
  <si>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</si>
  <si>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</si>
  <si>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</si>
  <si>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</si>
  <si>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</si>
  <si>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</si>
  <si>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</si>
  <si>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</si>
  <si>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</si>
  <si>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</si>
  <si>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</si>
  <si>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</si>
  <si>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</si>
  <si>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</si>
  <si>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</si>
  <si>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</si>
  <si>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</si>
  <si>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</si>
  <si>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</si>
  <si>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</si>
  <si>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</si>
  <si>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</si>
  <si>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</si>
  <si>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</si>
  <si>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</si>
  <si>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</si>
  <si>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</si>
  <si>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</si>
  <si>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</si>
  <si>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</si>
  <si>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</si>
  <si>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</si>
  <si>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</si>
  <si>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</si>
  <si>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</si>
  <si>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</si>
  <si>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</si>
  <si>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</si>
  <si>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</si>
  <si>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</si>
  <si>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</si>
  <si>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</si>
  <si>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</si>
  <si>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</si>
  <si>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</si>
  <si>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</si>
  <si>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</si>
  <si>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</si>
  <si>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</si>
  <si>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</si>
  <si>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</si>
  <si>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</si>
  <si>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</si>
  <si>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</si>
  <si>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</si>
  <si>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</si>
  <si>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</si>
  <si>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</si>
  <si>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</si>
  <si>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</si>
  <si>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</si>
  <si>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</si>
  <si>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</si>
  <si>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</si>
  <si>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</si>
  <si>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</si>
  <si>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</si>
  <si>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</si>
  <si>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</si>
  <si>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</si>
  <si>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</si>
  <si>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</si>
  <si>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</si>
  <si>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</si>
  <si>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</si>
  <si>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</si>
  <si>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</si>
  <si>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</si>
  <si>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</si>
  <si>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</si>
  <si>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</si>
  <si>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</si>
  <si>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</si>
  <si>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</si>
  <si>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</si>
  <si>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</si>
  <si>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</si>
  <si>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</si>
  <si>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</si>
  <si>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</si>
  <si>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</si>
  <si>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</si>
  <si>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</si>
  <si>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</si>
  <si>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</si>
  <si>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</si>
  <si>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</si>
  <si>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</si>
  <si>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</si>
  <si>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</si>
  <si>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</si>
  <si>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</si>
  <si>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</si>
  <si>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</si>
  <si>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</si>
  <si>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</si>
  <si>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</si>
  <si>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</si>
  <si>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</si>
  <si>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</si>
  <si>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</si>
  <si>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</si>
  <si>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</si>
  <si>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</si>
  <si>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</si>
  <si>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</si>
  <si>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</si>
  <si>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</si>
  <si>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</si>
  <si>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</si>
  <si>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</si>
  <si>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</si>
  <si>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</si>
  <si>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</si>
  <si>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</si>
  <si>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</si>
  <si>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</si>
  <si>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</si>
  <si>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</si>
  <si>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</si>
  <si>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</si>
  <si>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</si>
  <si>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</si>
  <si>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</si>
  <si>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</si>
  <si>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</si>
  <si>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</si>
  <si>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</si>
  <si>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</si>
  <si>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</si>
  <si>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</si>
  <si>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</si>
  <si>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</si>
  <si>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</si>
  <si>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</si>
  <si>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</si>
  <si>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</si>
  <si>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</si>
  <si>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</si>
  <si>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</si>
  <si>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</si>
  <si>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</si>
  <si>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</si>
  <si>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</si>
  <si>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</si>
  <si>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</si>
  <si>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</si>
  <si>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</si>
  <si>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</si>
  <si>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</si>
  <si>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</si>
  <si>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</si>
  <si>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</si>
  <si>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</si>
  <si>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</si>
  <si>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</si>
  <si>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</si>
  <si>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</si>
  <si>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</si>
  <si>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</si>
  <si>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</si>
  <si>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</si>
  <si>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</si>
  <si>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</si>
  <si>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</si>
  <si>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</si>
  <si>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</si>
  <si>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</si>
  <si>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</si>
  <si>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</si>
  <si>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</si>
  <si>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</si>
  <si>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</si>
  <si>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</si>
  <si>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</si>
  <si>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</si>
  <si>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</si>
  <si>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</si>
  <si>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</si>
  <si>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</si>
  <si>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</si>
  <si>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</si>
  <si>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</si>
  <si>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</si>
  <si>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</si>
  <si>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</si>
  <si>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</si>
  <si>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</si>
  <si>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</si>
  <si>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</si>
  <si>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</si>
  <si>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</si>
  <si>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</si>
  <si>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</si>
  <si>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</si>
  <si>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</si>
  <si>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</si>
  <si>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</si>
  <si>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</si>
  <si>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</si>
  <si>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</si>
  <si>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</si>
  <si>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</si>
  <si>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</si>
  <si>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</si>
  <si>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</si>
  <si>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</si>
  <si>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</si>
  <si>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</si>
  <si>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</si>
  <si>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</si>
  <si>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</si>
  <si>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</si>
  <si>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</si>
  <si>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</si>
  <si>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</si>
  <si>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</si>
  <si>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</si>
  <si>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</si>
  <si>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</si>
  <si>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</si>
  <si>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</si>
  <si>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</si>
  <si>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</si>
  <si>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</si>
  <si>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</si>
  <si>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</si>
  <si>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</si>
  <si>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</si>
  <si>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</si>
  <si>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</si>
  <si>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</si>
  <si>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</si>
  <si>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</si>
  <si>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</si>
  <si>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</si>
  <si>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</si>
  <si>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</si>
  <si>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</si>
  <si>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</si>
  <si>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</si>
  <si>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</si>
  <si>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</si>
  <si>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</si>
  <si>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</si>
  <si>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</si>
  <si>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</si>
  <si>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</si>
  <si>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</si>
  <si>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</si>
  <si>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</si>
  <si>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</si>
  <si>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</si>
  <si>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</si>
  <si>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</si>
  <si>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</si>
  <si>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</si>
  <si>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</si>
  <si>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</si>
  <si>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</si>
  <si>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</si>
  <si>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</si>
  <si>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</si>
  <si>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</si>
  <si>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</si>
  <si>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</si>
  <si>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</si>
  <si>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</si>
  <si>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</si>
  <si>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</si>
  <si>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</si>
  <si>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</si>
  <si>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</si>
  <si>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</si>
  <si>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</si>
  <si>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</si>
  <si>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</si>
  <si>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</si>
  <si>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</si>
  <si>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</si>
  <si>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</si>
  <si>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</si>
  <si>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</si>
  <si>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</si>
  <si>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</si>
  <si>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</si>
  <si>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</si>
  <si>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</si>
  <si>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</si>
  <si>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</si>
  <si>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</si>
  <si>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</si>
  <si>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</si>
  <si>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</si>
  <si>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</si>
  <si>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</si>
  <si>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</si>
  <si>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</si>
  <si>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</si>
  <si>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</si>
  <si>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</si>
  <si>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</si>
  <si>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</si>
  <si>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</si>
  <si>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</si>
  <si>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</si>
  <si>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</si>
  <si>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</si>
  <si>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</si>
  <si>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</si>
  <si>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</si>
  <si>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</si>
  <si>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</si>
  <si>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</si>
  <si>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</si>
  <si>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</si>
  <si>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</si>
  <si>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</si>
  <si>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</si>
  <si>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</si>
  <si>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</si>
  <si>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</si>
  <si>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</si>
  <si>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</si>
  <si>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</si>
  <si>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</si>
  <si>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</si>
  <si>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</si>
  <si>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</si>
  <si>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</si>
  <si>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</si>
  <si>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</si>
  <si>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</si>
  <si>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</si>
  <si>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</si>
  <si>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</si>
  <si>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</si>
  <si>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</si>
  <si>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</si>
  <si>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</si>
  <si>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</si>
  <si>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</si>
  <si>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</si>
  <si>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</si>
  <si>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</si>
  <si>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</si>
  <si>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</si>
  <si>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</si>
  <si>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</si>
  <si>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</si>
  <si>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</si>
  <si>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</si>
  <si>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</si>
  <si>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</si>
  <si>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</si>
  <si>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</si>
  <si>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</si>
  <si>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</si>
  <si>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</si>
  <si>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</si>
  <si>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</si>
  <si>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</si>
  <si>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</si>
  <si>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</si>
  <si>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</si>
  <si>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</si>
  <si>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</si>
  <si>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</si>
  <si>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</si>
  <si>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</si>
  <si>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</si>
  <si>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</si>
  <si>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</si>
  <si>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</si>
  <si>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</si>
  <si>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</si>
  <si>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</si>
  <si>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</si>
  <si>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</si>
  <si>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</si>
  <si>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</si>
  <si>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</si>
  <si>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</si>
  <si>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</si>
  <si>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</si>
  <si>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</si>
  <si>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</si>
  <si>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</si>
  <si>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</si>
  <si>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</si>
  <si>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</si>
  <si>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</si>
  <si>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</si>
  <si>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</si>
  <si>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</si>
  <si>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            CONWAY SCHOOL DISTRICT</t>
  </si>
  <si>
    <t>3190 Other State Revenue - State's Distribution of $3.5M Alloc HB2, Chapter 224 Tchr Retirement</t>
  </si>
  <si>
    <t>4590 Other Fed Aid Thru State - EdJobs Funding</t>
  </si>
  <si>
    <t>Seidenstuecker</t>
  </si>
  <si>
    <t xml:space="preserve">           Increased in Food Service Inventory</t>
  </si>
  <si>
    <t>12/2003</t>
  </si>
  <si>
    <t>12/2006</t>
  </si>
  <si>
    <t>1/2024</t>
  </si>
  <si>
    <t>1/2012</t>
  </si>
  <si>
    <t>Reduction in Interest of $453,862 due to resale of bonds with NH Municipal Bond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</si>
</sst>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113</v>
      </c>
      <c r="C2" s="21">
        <v>113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304247.7+450</f>
        <v>304697.7</v>
      </c>
      <c r="G9" s="18">
        <v>48887.360000000001</v>
      </c>
      <c r="H9" s="18">
        <v>0</v>
      </c>
      <c r="I9" s="18">
        <v>16799.27</v>
      </c>
      <c r="J9" s="67">
        <f>SUM(I438)</f>
        <v>822648.17000000016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341893.59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53808.160000000003</v>
      </c>
      <c r="G13" s="18">
        <v>76813.7</v>
      </c>
      <c r="H13" s="18">
        <v>296470.84999999998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9564.61</v>
      </c>
      <c r="G14" s="18">
        <v>659.65</v>
      </c>
      <c r="H14" s="18">
        <v>2049.1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39599.32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709964.06</v>
      </c>
      <c r="G19" s="41">
        <f>SUM(G9:G18)</f>
        <v>165960.03</v>
      </c>
      <c r="H19" s="41">
        <f>SUM(H9:H18)</f>
        <v>298519.94999999995</v>
      </c>
      <c r="I19" s="41">
        <f>SUM(I9:I18)</f>
        <v>16799.27</v>
      </c>
      <c r="J19" s="41">
        <f>SUM(J9:J18)</f>
        <v>822648.17000000016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107361.49</v>
      </c>
      <c r="H22" s="18">
        <v>214532.1</v>
      </c>
      <c r="I22" s="18"/>
      <c r="J22" s="67">
        <f>SUM(I447)</f>
        <v>20000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208688.87</v>
      </c>
      <c r="G24" s="18">
        <v>26.36</v>
      </c>
      <c r="H24" s="18"/>
      <c r="I24" s="18">
        <v>3175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29435.34</v>
      </c>
      <c r="G28" s="18"/>
      <c r="H28" s="18">
        <v>593.26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1107.6199999999999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239231.83</v>
      </c>
      <c r="G32" s="41">
        <f>SUM(G22:G31)</f>
        <v>107387.85</v>
      </c>
      <c r="H32" s="41">
        <f>SUM(H22:H31)</f>
        <v>215125.36000000002</v>
      </c>
      <c r="I32" s="41">
        <f>SUM(I22:I31)</f>
        <v>3175</v>
      </c>
      <c r="J32" s="41">
        <f>SUM(J22:J31)</f>
        <v>20000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39599.32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18972.86</v>
      </c>
      <c r="H47" s="18">
        <v>83394.59</v>
      </c>
      <c r="I47" s="18">
        <v>13624.27</v>
      </c>
      <c r="J47" s="13">
        <f>SUM(I458)</f>
        <v>802648.17000000016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470732.23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470732.23</v>
      </c>
      <c r="G50" s="41">
        <f>SUM(G35:G49)</f>
        <v>58572.18</v>
      </c>
      <c r="H50" s="41">
        <f>SUM(H35:H49)</f>
        <v>83394.59</v>
      </c>
      <c r="I50" s="41">
        <f>SUM(I35:I49)</f>
        <v>13624.27</v>
      </c>
      <c r="J50" s="41">
        <f>SUM(J35:J49)</f>
        <v>802648.17000000016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709964.05999999994</v>
      </c>
      <c r="G51" s="41">
        <f>G50+G32</f>
        <v>165960.03</v>
      </c>
      <c r="H51" s="41">
        <f>H50+H32</f>
        <v>298519.95</v>
      </c>
      <c r="I51" s="41">
        <f>I50+I32</f>
        <v>16799.27</v>
      </c>
      <c r="J51" s="41">
        <f>J50+J32</f>
        <v>822648.17000000016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12094168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12094168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1805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9533314.0299999993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9535119.0299999993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43102.06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43102.06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118650.52</v>
      </c>
      <c r="G95" s="18">
        <v>200.38</v>
      </c>
      <c r="H95" s="18"/>
      <c r="I95" s="18">
        <v>229.14</v>
      </c>
      <c r="J95" s="18">
        <v>571.37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404361.86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30359.75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173175.16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79033.440000000002</v>
      </c>
      <c r="G109" s="18"/>
      <c r="H109" s="18">
        <v>140502.34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401218.87000000005</v>
      </c>
      <c r="G110" s="41">
        <f>SUM(G95:G109)</f>
        <v>404562.24</v>
      </c>
      <c r="H110" s="41">
        <f>SUM(H95:H109)</f>
        <v>140502.34</v>
      </c>
      <c r="I110" s="41">
        <f>SUM(I95:I109)</f>
        <v>229.14</v>
      </c>
      <c r="J110" s="41">
        <f>SUM(J95:J109)</f>
        <v>571.37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22073607.960000001</v>
      </c>
      <c r="G111" s="41">
        <f>G59+G110</f>
        <v>404562.24</v>
      </c>
      <c r="H111" s="41">
        <f>H59+H78+H93+H110</f>
        <v>140502.34</v>
      </c>
      <c r="I111" s="41">
        <f>I59+I110</f>
        <v>229.14</v>
      </c>
      <c r="J111" s="41">
        <f>J59+J110</f>
        <v>571.37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2929483.8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3475856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2538.1999999999998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19227.77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6427105.7699999996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1362788.65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204261.84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10953.49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64148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1567050.49</v>
      </c>
      <c r="G135" s="41">
        <f>SUM(G122:G134)</f>
        <v>10953.49</v>
      </c>
      <c r="H135" s="41">
        <f>SUM(H122:H134)</f>
        <v>64148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7994156.2599999998</v>
      </c>
      <c r="G139" s="41">
        <f>G120+SUM(G135:G136)</f>
        <v>10953.49</v>
      </c>
      <c r="H139" s="41">
        <f>H120+SUM(H135:H138)</f>
        <v>64148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601554.68999999994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388580.11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77387.990000000005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27219.19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408369.46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463507.33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110025.41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137274.97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247300.38</v>
      </c>
      <c r="G161" s="41">
        <f>SUM(G149:G160)</f>
        <v>408369.46</v>
      </c>
      <c r="H161" s="41">
        <f>SUM(H149:H160)</f>
        <v>1558249.31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1135.21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248435.59</v>
      </c>
      <c r="G168" s="41">
        <f>G146+G161+SUM(G162:G167)</f>
        <v>408369.46</v>
      </c>
      <c r="H168" s="41">
        <f>H146+H161+SUM(H162:H167)</f>
        <v>1558249.31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81429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81429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20000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81429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30336199.809999999</v>
      </c>
      <c r="G192" s="47">
        <f>G111+G139+G168+G191</f>
        <v>823885.19</v>
      </c>
      <c r="H192" s="47">
        <f>H111+H139+H168+H191</f>
        <v>1762899.6500000001</v>
      </c>
      <c r="I192" s="47">
        <f>I111+I139+I168+I191</f>
        <v>229.14</v>
      </c>
      <c r="J192" s="47">
        <f>J111+J139+J191</f>
        <v>82000.37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2431496.78+162967.4</f>
        <v>2594464.1799999997</v>
      </c>
      <c r="G196" s="18">
        <f>1213419.32+381832.56</f>
        <v>1595251.8800000001</v>
      </c>
      <c r="H196" s="18">
        <v>7171.39</v>
      </c>
      <c r="I196" s="18">
        <v>84430.96</v>
      </c>
      <c r="J196" s="18">
        <v>43371.94</v>
      </c>
      <c r="K196" s="18"/>
      <c r="L196" s="19">
        <f>SUM(F196:K196)</f>
        <v>4324690.3499999996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970608.18</v>
      </c>
      <c r="G197" s="18">
        <v>639581.51</v>
      </c>
      <c r="H197" s="18">
        <v>1066411.1100000001</v>
      </c>
      <c r="I197" s="18"/>
      <c r="J197" s="18"/>
      <c r="K197" s="18"/>
      <c r="L197" s="19">
        <f>SUM(F197:K197)</f>
        <v>2676600.7999999998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5096.21</v>
      </c>
      <c r="I199" s="18"/>
      <c r="J199" s="18"/>
      <c r="K199" s="18"/>
      <c r="L199" s="19">
        <f>SUM(F199:K199)</f>
        <v>5096.21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531721.86</v>
      </c>
      <c r="G201" s="18">
        <v>340338.64</v>
      </c>
      <c r="H201" s="18">
        <v>104891.42</v>
      </c>
      <c r="I201" s="18">
        <v>4649.93</v>
      </c>
      <c r="J201" s="18"/>
      <c r="K201" s="18"/>
      <c r="L201" s="19">
        <f t="shared" ref="L201:L207" si="0">SUM(F201:K201)</f>
        <v>981601.85000000009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112327</v>
      </c>
      <c r="G202" s="18">
        <v>74154.710000000006</v>
      </c>
      <c r="H202" s="18">
        <v>12898.91</v>
      </c>
      <c r="I202" s="18">
        <v>14542.71</v>
      </c>
      <c r="J202" s="18">
        <v>3642.04</v>
      </c>
      <c r="K202" s="18"/>
      <c r="L202" s="19">
        <f t="shared" si="0"/>
        <v>217565.37000000002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8121.5</v>
      </c>
      <c r="G203" s="18">
        <v>621.33000000000004</v>
      </c>
      <c r="H203" s="18">
        <v>326483.07</v>
      </c>
      <c r="I203" s="18">
        <v>3190.85</v>
      </c>
      <c r="J203" s="18">
        <v>1665</v>
      </c>
      <c r="K203" s="18">
        <v>2037.32</v>
      </c>
      <c r="L203" s="19">
        <f t="shared" si="0"/>
        <v>342119.07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318384.76</v>
      </c>
      <c r="G204" s="18">
        <v>187346.7</v>
      </c>
      <c r="H204" s="18">
        <v>40427.519999999997</v>
      </c>
      <c r="I204" s="18">
        <v>3235.98</v>
      </c>
      <c r="J204" s="18">
        <v>1572.6</v>
      </c>
      <c r="K204" s="18">
        <v>1670</v>
      </c>
      <c r="L204" s="19">
        <f t="shared" si="0"/>
        <v>552637.55999999994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265186.69</v>
      </c>
      <c r="G206" s="18">
        <v>171497.2</v>
      </c>
      <c r="H206" s="18">
        <v>334987.75</v>
      </c>
      <c r="I206" s="18">
        <v>236918.41</v>
      </c>
      <c r="J206" s="18">
        <v>8104.93</v>
      </c>
      <c r="K206" s="18"/>
      <c r="L206" s="19">
        <f t="shared" si="0"/>
        <v>1016694.9800000001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111162.59</v>
      </c>
      <c r="G207" s="18">
        <v>48081.17</v>
      </c>
      <c r="H207" s="18">
        <v>23359.38</v>
      </c>
      <c r="I207" s="18">
        <v>51593.58</v>
      </c>
      <c r="J207" s="18">
        <v>31104</v>
      </c>
      <c r="K207" s="18"/>
      <c r="L207" s="19">
        <f t="shared" si="0"/>
        <v>265300.72000000003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775</v>
      </c>
      <c r="I208" s="18"/>
      <c r="J208" s="18"/>
      <c r="K208" s="18"/>
      <c r="L208" s="19">
        <f>SUM(F208:K208)</f>
        <v>775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4911976.76</v>
      </c>
      <c r="G210" s="41">
        <f t="shared" si="1"/>
        <v>3056873.1400000006</v>
      </c>
      <c r="H210" s="41">
        <f t="shared" si="1"/>
        <v>1922501.7599999998</v>
      </c>
      <c r="I210" s="41">
        <f t="shared" si="1"/>
        <v>398562.42000000004</v>
      </c>
      <c r="J210" s="41">
        <f t="shared" si="1"/>
        <v>89460.510000000009</v>
      </c>
      <c r="K210" s="41">
        <f t="shared" si="1"/>
        <v>3707.3199999999997</v>
      </c>
      <c r="L210" s="41">
        <f t="shared" si="1"/>
        <v>10383081.91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1269221.79+108277.23</f>
        <v>1377499.02</v>
      </c>
      <c r="G214" s="18">
        <f>593372.04+172771.94</f>
        <v>766143.98</v>
      </c>
      <c r="H214" s="18">
        <v>8423.68</v>
      </c>
      <c r="I214" s="18">
        <v>58514.11</v>
      </c>
      <c r="J214" s="18">
        <v>33134.47</v>
      </c>
      <c r="K214" s="18"/>
      <c r="L214" s="19">
        <f>SUM(F214:K214)</f>
        <v>2243715.2600000002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407396.4</v>
      </c>
      <c r="G215" s="18">
        <v>294989.15999999997</v>
      </c>
      <c r="H215" s="18">
        <v>26036.39</v>
      </c>
      <c r="I215" s="18"/>
      <c r="J215" s="18"/>
      <c r="K215" s="18"/>
      <c r="L215" s="19">
        <f>SUM(F215:K215)</f>
        <v>728421.95000000007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60306</v>
      </c>
      <c r="G217" s="18">
        <v>7438.97</v>
      </c>
      <c r="H217" s="18">
        <v>12222.09</v>
      </c>
      <c r="I217" s="18">
        <v>7235.15</v>
      </c>
      <c r="J217" s="18">
        <v>3661</v>
      </c>
      <c r="K217" s="18">
        <v>1085</v>
      </c>
      <c r="L217" s="19">
        <f>SUM(F217:K217)</f>
        <v>91948.209999999992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171287.03</v>
      </c>
      <c r="G219" s="18">
        <v>95387.16</v>
      </c>
      <c r="H219" s="18">
        <v>10230.91</v>
      </c>
      <c r="I219" s="18">
        <v>5235.6899999999996</v>
      </c>
      <c r="J219" s="18">
        <v>1616.76</v>
      </c>
      <c r="K219" s="18"/>
      <c r="L219" s="19">
        <f t="shared" ref="L219:L225" si="2">SUM(F219:K219)</f>
        <v>283757.55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44735</v>
      </c>
      <c r="G220" s="18">
        <v>31623.79</v>
      </c>
      <c r="H220" s="18">
        <v>7935.8</v>
      </c>
      <c r="I220" s="18">
        <v>9990.9</v>
      </c>
      <c r="J220" s="18">
        <v>500</v>
      </c>
      <c r="K220" s="18">
        <v>357</v>
      </c>
      <c r="L220" s="19">
        <f t="shared" si="2"/>
        <v>95142.49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3621.75</v>
      </c>
      <c r="G221" s="18">
        <v>777.08</v>
      </c>
      <c r="H221" s="18">
        <v>145600.95000000001</v>
      </c>
      <c r="I221" s="18">
        <v>1422.95</v>
      </c>
      <c r="J221" s="18">
        <v>742.5</v>
      </c>
      <c r="K221" s="18">
        <v>908.53</v>
      </c>
      <c r="L221" s="19">
        <f t="shared" si="2"/>
        <v>153073.76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141891.22</v>
      </c>
      <c r="G222" s="18">
        <v>78802.03</v>
      </c>
      <c r="H222" s="18">
        <v>25612.11</v>
      </c>
      <c r="I222" s="18">
        <v>1354.7</v>
      </c>
      <c r="J222" s="18">
        <v>364.4</v>
      </c>
      <c r="K222" s="18">
        <v>2119.0700000000002</v>
      </c>
      <c r="L222" s="19">
        <f t="shared" si="2"/>
        <v>250143.53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267911.58</v>
      </c>
      <c r="G224" s="18">
        <v>162505.82</v>
      </c>
      <c r="H224" s="18">
        <v>151986.39000000001</v>
      </c>
      <c r="I224" s="18">
        <v>245250.14</v>
      </c>
      <c r="J224" s="18">
        <v>10513.11</v>
      </c>
      <c r="K224" s="18"/>
      <c r="L224" s="19">
        <f t="shared" si="2"/>
        <v>838167.04000000004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38669.06</v>
      </c>
      <c r="G225" s="18">
        <v>16964.22</v>
      </c>
      <c r="H225" s="18">
        <v>10417.02</v>
      </c>
      <c r="I225" s="18">
        <v>23007.95</v>
      </c>
      <c r="J225" s="18">
        <v>13870</v>
      </c>
      <c r="K225" s="18"/>
      <c r="L225" s="19">
        <f t="shared" si="2"/>
        <v>102928.25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v>345</v>
      </c>
      <c r="I226" s="18"/>
      <c r="J226" s="18"/>
      <c r="K226" s="18"/>
      <c r="L226" s="19">
        <f>SUM(F226:K226)</f>
        <v>345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2513317.06</v>
      </c>
      <c r="G228" s="41">
        <f>SUM(G214:G227)</f>
        <v>1454632.21</v>
      </c>
      <c r="H228" s="41">
        <f>SUM(H214:H227)</f>
        <v>398810.34</v>
      </c>
      <c r="I228" s="41">
        <f>SUM(I214:I227)</f>
        <v>352011.59</v>
      </c>
      <c r="J228" s="41">
        <f>SUM(J214:J227)</f>
        <v>64402.240000000005</v>
      </c>
      <c r="K228" s="41">
        <f t="shared" si="3"/>
        <v>4469.6000000000004</v>
      </c>
      <c r="L228" s="41">
        <f t="shared" si="3"/>
        <v>4787643.040000001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2449252.31+85749</f>
        <v>2535001.31</v>
      </c>
      <c r="G232" s="18">
        <f>1335935.18+470977.32</f>
        <v>1806912.5</v>
      </c>
      <c r="H232" s="18">
        <v>9968.2800000000007</v>
      </c>
      <c r="I232" s="18">
        <v>122114.01</v>
      </c>
      <c r="J232" s="18">
        <v>40335.49</v>
      </c>
      <c r="K232" s="18"/>
      <c r="L232" s="19">
        <f>SUM(F232:K232)</f>
        <v>4514331.5900000008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621938.53</v>
      </c>
      <c r="G233" s="18">
        <v>398062.23</v>
      </c>
      <c r="H233" s="18">
        <v>850592.72</v>
      </c>
      <c r="I233" s="18"/>
      <c r="J233" s="18"/>
      <c r="K233" s="18"/>
      <c r="L233" s="19">
        <f>SUM(F233:K233)</f>
        <v>1870593.48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481373.75</v>
      </c>
      <c r="G234" s="18">
        <v>201743.05</v>
      </c>
      <c r="H234" s="18">
        <v>9675.7099999999991</v>
      </c>
      <c r="I234" s="18">
        <v>78588.94</v>
      </c>
      <c r="J234" s="18">
        <v>5679.79</v>
      </c>
      <c r="K234" s="18"/>
      <c r="L234" s="19">
        <f>SUM(F234:K234)</f>
        <v>777061.24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176986.78</v>
      </c>
      <c r="G235" s="18">
        <v>34295.040000000001</v>
      </c>
      <c r="H235" s="18">
        <v>71976.88</v>
      </c>
      <c r="I235" s="18">
        <v>22614.18</v>
      </c>
      <c r="J235" s="18">
        <v>1603.91</v>
      </c>
      <c r="K235" s="18">
        <v>9618.7199999999993</v>
      </c>
      <c r="L235" s="19">
        <f>SUM(F235:K235)</f>
        <v>317095.50999999995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522275.31</v>
      </c>
      <c r="G237" s="18">
        <v>285375.38</v>
      </c>
      <c r="H237" s="18">
        <v>68599.48</v>
      </c>
      <c r="I237" s="18">
        <v>10468.450000000001</v>
      </c>
      <c r="J237" s="18">
        <v>531</v>
      </c>
      <c r="K237" s="18"/>
      <c r="L237" s="19">
        <f t="shared" ref="L237:L243" si="4">SUM(F237:K237)</f>
        <v>887249.61999999988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70544.160000000003</v>
      </c>
      <c r="G238" s="18">
        <v>64536.29</v>
      </c>
      <c r="H238" s="18">
        <v>22686.31</v>
      </c>
      <c r="I238" s="18">
        <v>22126.26</v>
      </c>
      <c r="J238" s="18">
        <v>297.79000000000002</v>
      </c>
      <c r="K238" s="18">
        <v>1614</v>
      </c>
      <c r="L238" s="19">
        <f t="shared" si="4"/>
        <v>181804.81000000003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10206.75</v>
      </c>
      <c r="G239" s="18">
        <v>780.86</v>
      </c>
      <c r="H239" s="18">
        <v>410345.98</v>
      </c>
      <c r="I239" s="18">
        <v>4010.13</v>
      </c>
      <c r="J239" s="18">
        <v>2092.5</v>
      </c>
      <c r="K239" s="18">
        <v>2560.41</v>
      </c>
      <c r="L239" s="19">
        <f t="shared" si="4"/>
        <v>429996.62999999995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442309.26</v>
      </c>
      <c r="G240" s="18">
        <v>219715.57</v>
      </c>
      <c r="H240" s="18">
        <v>70200.72</v>
      </c>
      <c r="I240" s="18">
        <v>17522.419999999998</v>
      </c>
      <c r="J240" s="18">
        <v>2980.86</v>
      </c>
      <c r="K240" s="18">
        <v>13975.53</v>
      </c>
      <c r="L240" s="19">
        <f t="shared" si="4"/>
        <v>766704.3600000001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423813.47</v>
      </c>
      <c r="G242" s="18">
        <v>242839.67999999999</v>
      </c>
      <c r="H242" s="18">
        <v>545269.13</v>
      </c>
      <c r="I242" s="18">
        <v>460116.29</v>
      </c>
      <c r="J242" s="18">
        <v>5712.65</v>
      </c>
      <c r="K242" s="18"/>
      <c r="L242" s="19">
        <f t="shared" si="4"/>
        <v>1677751.2199999997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111591.29</v>
      </c>
      <c r="G243" s="18">
        <v>46480.9</v>
      </c>
      <c r="H243" s="18">
        <v>73777.63</v>
      </c>
      <c r="I243" s="18">
        <v>64840.59</v>
      </c>
      <c r="J243" s="18">
        <v>39090</v>
      </c>
      <c r="K243" s="18"/>
      <c r="L243" s="19">
        <f t="shared" si="4"/>
        <v>335780.41000000003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973</v>
      </c>
      <c r="I244" s="18"/>
      <c r="J244" s="18"/>
      <c r="K244" s="18"/>
      <c r="L244" s="19">
        <f>SUM(F244:K244)</f>
        <v>973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5396040.6099999994</v>
      </c>
      <c r="G246" s="41">
        <f t="shared" si="5"/>
        <v>3300741.4999999995</v>
      </c>
      <c r="H246" s="41">
        <f t="shared" si="5"/>
        <v>2134065.84</v>
      </c>
      <c r="I246" s="41">
        <f t="shared" si="5"/>
        <v>802401.2699999999</v>
      </c>
      <c r="J246" s="41">
        <f t="shared" si="5"/>
        <v>98323.99</v>
      </c>
      <c r="K246" s="41">
        <f t="shared" si="5"/>
        <v>27768.66</v>
      </c>
      <c r="L246" s="41">
        <f t="shared" si="5"/>
        <v>11759341.870000001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12821334.43</v>
      </c>
      <c r="G256" s="41">
        <f t="shared" si="8"/>
        <v>7812246.8499999996</v>
      </c>
      <c r="H256" s="41">
        <f t="shared" si="8"/>
        <v>4455377.9399999995</v>
      </c>
      <c r="I256" s="41">
        <f t="shared" si="8"/>
        <v>1552975.2799999998</v>
      </c>
      <c r="J256" s="41">
        <f t="shared" si="8"/>
        <v>252186.74</v>
      </c>
      <c r="K256" s="41">
        <f t="shared" si="8"/>
        <v>35945.58</v>
      </c>
      <c r="L256" s="41">
        <f t="shared" si="8"/>
        <v>26930066.82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2335000</v>
      </c>
      <c r="L259" s="19">
        <f>SUM(F259:K259)</f>
        <v>2335000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1111967.5</v>
      </c>
      <c r="L260" s="19">
        <f>SUM(F260:K260)</f>
        <v>1111967.5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81429</v>
      </c>
      <c r="L265" s="19">
        <f t="shared" si="9"/>
        <v>81429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35672.67</v>
      </c>
      <c r="L268" s="19">
        <f t="shared" si="9"/>
        <v>35672.67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3564069.17</v>
      </c>
      <c r="L269" s="41">
        <f t="shared" si="9"/>
        <v>3564069.17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12821334.43</v>
      </c>
      <c r="G270" s="42">
        <f t="shared" si="11"/>
        <v>7812246.8499999996</v>
      </c>
      <c r="H270" s="42">
        <f t="shared" si="11"/>
        <v>4455377.9399999995</v>
      </c>
      <c r="I270" s="42">
        <f t="shared" si="11"/>
        <v>1552975.2799999998</v>
      </c>
      <c r="J270" s="42">
        <f t="shared" si="11"/>
        <v>252186.74</v>
      </c>
      <c r="K270" s="42">
        <f t="shared" si="11"/>
        <v>3600014.75</v>
      </c>
      <c r="L270" s="42">
        <f t="shared" si="11"/>
        <v>30494135.990000002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339617.23</v>
      </c>
      <c r="G275" s="18">
        <v>137902.99</v>
      </c>
      <c r="H275" s="18">
        <v>0</v>
      </c>
      <c r="I275" s="18">
        <v>23829.65</v>
      </c>
      <c r="J275" s="18">
        <v>16843.3</v>
      </c>
      <c r="K275" s="18"/>
      <c r="L275" s="19">
        <f>SUM(F275:K275)</f>
        <v>518193.17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23073</v>
      </c>
      <c r="G276" s="18">
        <v>15339.46</v>
      </c>
      <c r="H276" s="18">
        <v>25645.54</v>
      </c>
      <c r="I276" s="18">
        <v>10971.83</v>
      </c>
      <c r="J276" s="18">
        <v>35381.78</v>
      </c>
      <c r="K276" s="18"/>
      <c r="L276" s="19">
        <f>SUM(F276:K276)</f>
        <v>110411.61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158140.01999999999</v>
      </c>
      <c r="G278" s="18">
        <v>22392.43</v>
      </c>
      <c r="H278" s="18">
        <v>864</v>
      </c>
      <c r="I278" s="18">
        <v>18376.39</v>
      </c>
      <c r="J278" s="18"/>
      <c r="K278" s="18"/>
      <c r="L278" s="19">
        <f>SUM(F278:K278)</f>
        <v>199772.83999999997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51233.51</v>
      </c>
      <c r="G280" s="18">
        <v>21236.400000000001</v>
      </c>
      <c r="H280" s="18">
        <v>88171.37</v>
      </c>
      <c r="I280" s="18"/>
      <c r="J280" s="18"/>
      <c r="K280" s="18"/>
      <c r="L280" s="19">
        <f t="shared" ref="L280:L286" si="12">SUM(F280:K280)</f>
        <v>160641.28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28117.01</v>
      </c>
      <c r="G281" s="18">
        <v>5293.53</v>
      </c>
      <c r="H281" s="18">
        <v>171289.69</v>
      </c>
      <c r="I281" s="18">
        <v>8527.86</v>
      </c>
      <c r="J281" s="18">
        <v>71552.75</v>
      </c>
      <c r="K281" s="18"/>
      <c r="L281" s="19">
        <f t="shared" si="12"/>
        <v>284780.84000000003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31142.09</v>
      </c>
      <c r="I286" s="18"/>
      <c r="J286" s="18"/>
      <c r="K286" s="18"/>
      <c r="L286" s="19">
        <f t="shared" si="12"/>
        <v>31142.09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600180.77</v>
      </c>
      <c r="G289" s="42">
        <f t="shared" si="13"/>
        <v>202164.80999999997</v>
      </c>
      <c r="H289" s="42">
        <f t="shared" si="13"/>
        <v>317112.69</v>
      </c>
      <c r="I289" s="42">
        <f t="shared" si="13"/>
        <v>61705.73</v>
      </c>
      <c r="J289" s="42">
        <f t="shared" si="13"/>
        <v>123777.83</v>
      </c>
      <c r="K289" s="42">
        <f t="shared" si="13"/>
        <v>0</v>
      </c>
      <c r="L289" s="41">
        <f t="shared" si="13"/>
        <v>1304941.83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1104</v>
      </c>
      <c r="G294" s="18">
        <v>209.21</v>
      </c>
      <c r="H294" s="18"/>
      <c r="I294" s="18">
        <v>3320.89</v>
      </c>
      <c r="J294" s="18">
        <v>9159.7000000000007</v>
      </c>
      <c r="K294" s="18"/>
      <c r="L294" s="19">
        <f>SUM(F294:K294)</f>
        <v>13793.800000000001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>
        <v>787.25</v>
      </c>
      <c r="J295" s="18">
        <v>16675.47</v>
      </c>
      <c r="K295" s="18"/>
      <c r="L295" s="19">
        <f>SUM(F295:K295)</f>
        <v>17462.72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1850</v>
      </c>
      <c r="G297" s="18">
        <v>141.52000000000001</v>
      </c>
      <c r="H297" s="18"/>
      <c r="I297" s="18"/>
      <c r="J297" s="18"/>
      <c r="K297" s="18"/>
      <c r="L297" s="19">
        <f>SUM(F297:K297)</f>
        <v>1991.52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10813.35</v>
      </c>
      <c r="G299" s="18">
        <v>3507.38</v>
      </c>
      <c r="H299" s="18">
        <v>20350</v>
      </c>
      <c r="I299" s="18"/>
      <c r="J299" s="18"/>
      <c r="K299" s="18"/>
      <c r="L299" s="19">
        <f t="shared" ref="L299:L305" si="14">SUM(F299:K299)</f>
        <v>34670.729999999996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5052</v>
      </c>
      <c r="G300" s="18">
        <v>957.36</v>
      </c>
      <c r="H300" s="18">
        <v>455.53</v>
      </c>
      <c r="I300" s="18"/>
      <c r="J300" s="18"/>
      <c r="K300" s="18"/>
      <c r="L300" s="19">
        <f t="shared" si="14"/>
        <v>6464.8899999999994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18819.349999999999</v>
      </c>
      <c r="G308" s="42">
        <f t="shared" si="15"/>
        <v>4815.47</v>
      </c>
      <c r="H308" s="42">
        <f t="shared" si="15"/>
        <v>20805.53</v>
      </c>
      <c r="I308" s="42">
        <f t="shared" si="15"/>
        <v>4108.1399999999994</v>
      </c>
      <c r="J308" s="42">
        <f t="shared" si="15"/>
        <v>25835.170000000002</v>
      </c>
      <c r="K308" s="42">
        <f t="shared" si="15"/>
        <v>0</v>
      </c>
      <c r="L308" s="41">
        <f t="shared" si="15"/>
        <v>74383.659999999989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25672.05</v>
      </c>
      <c r="G313" s="18">
        <v>28308.81</v>
      </c>
      <c r="H313" s="18">
        <v>72026.31</v>
      </c>
      <c r="I313" s="18"/>
      <c r="J313" s="18"/>
      <c r="K313" s="18"/>
      <c r="L313" s="19">
        <f>SUM(F313:K313)</f>
        <v>126007.17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3936</v>
      </c>
      <c r="G314" s="18">
        <v>745.87</v>
      </c>
      <c r="H314" s="18">
        <v>5221.32</v>
      </c>
      <c r="I314" s="18">
        <v>2218.61</v>
      </c>
      <c r="J314" s="18">
        <v>14365.85</v>
      </c>
      <c r="K314" s="18"/>
      <c r="L314" s="19">
        <f>SUM(F314:K314)</f>
        <v>26487.65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11829.53</v>
      </c>
      <c r="G315" s="18">
        <v>11081.59</v>
      </c>
      <c r="H315" s="18">
        <v>11242</v>
      </c>
      <c r="I315" s="18">
        <v>0</v>
      </c>
      <c r="J315" s="18">
        <v>47344.74</v>
      </c>
      <c r="K315" s="18"/>
      <c r="L315" s="19">
        <f>SUM(F315:K315)</f>
        <v>81497.86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30473.98</v>
      </c>
      <c r="G318" s="18">
        <v>9884.44</v>
      </c>
      <c r="H318" s="18">
        <v>19562.150000000001</v>
      </c>
      <c r="I318" s="18"/>
      <c r="J318" s="18"/>
      <c r="K318" s="18"/>
      <c r="L318" s="19">
        <f t="shared" ref="L318:L324" si="16">SUM(F318:K318)</f>
        <v>59920.57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9807.6</v>
      </c>
      <c r="G319" s="18">
        <v>1858.54</v>
      </c>
      <c r="H319" s="18">
        <v>40138.730000000003</v>
      </c>
      <c r="I319" s="18"/>
      <c r="J319" s="18"/>
      <c r="K319" s="18">
        <v>2324.56</v>
      </c>
      <c r="L319" s="19">
        <f t="shared" si="16"/>
        <v>54129.43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2817.61</v>
      </c>
      <c r="I324" s="18"/>
      <c r="J324" s="18"/>
      <c r="K324" s="18"/>
      <c r="L324" s="19">
        <f t="shared" si="16"/>
        <v>2817.61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81719.16</v>
      </c>
      <c r="G327" s="42">
        <f t="shared" si="17"/>
        <v>51879.250000000007</v>
      </c>
      <c r="H327" s="42">
        <f t="shared" si="17"/>
        <v>151008.12</v>
      </c>
      <c r="I327" s="42">
        <f t="shared" si="17"/>
        <v>2218.61</v>
      </c>
      <c r="J327" s="42">
        <f t="shared" si="17"/>
        <v>61710.59</v>
      </c>
      <c r="K327" s="42">
        <f t="shared" si="17"/>
        <v>2324.56</v>
      </c>
      <c r="L327" s="41">
        <f t="shared" si="17"/>
        <v>350860.29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12750</v>
      </c>
      <c r="G332" s="18">
        <v>2010.31</v>
      </c>
      <c r="H332" s="18">
        <v>3200</v>
      </c>
      <c r="I332" s="18">
        <v>12458.88</v>
      </c>
      <c r="J332" s="18"/>
      <c r="K332" s="18"/>
      <c r="L332" s="19">
        <f t="shared" si="18"/>
        <v>30419.189999999995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12750</v>
      </c>
      <c r="G336" s="41">
        <f t="shared" si="19"/>
        <v>2010.31</v>
      </c>
      <c r="H336" s="41">
        <f t="shared" si="19"/>
        <v>3200</v>
      </c>
      <c r="I336" s="41">
        <f t="shared" si="19"/>
        <v>12458.88</v>
      </c>
      <c r="J336" s="41">
        <f t="shared" si="19"/>
        <v>0</v>
      </c>
      <c r="K336" s="41">
        <f t="shared" si="19"/>
        <v>0</v>
      </c>
      <c r="L336" s="41">
        <f t="shared" si="18"/>
        <v>30419.189999999995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713469.28</v>
      </c>
      <c r="G337" s="41">
        <f t="shared" si="20"/>
        <v>260869.83999999997</v>
      </c>
      <c r="H337" s="41">
        <f t="shared" si="20"/>
        <v>492126.33999999997</v>
      </c>
      <c r="I337" s="41">
        <f t="shared" si="20"/>
        <v>80491.360000000001</v>
      </c>
      <c r="J337" s="41">
        <f t="shared" si="20"/>
        <v>211323.59</v>
      </c>
      <c r="K337" s="41">
        <f t="shared" si="20"/>
        <v>2324.56</v>
      </c>
      <c r="L337" s="41">
        <f t="shared" si="20"/>
        <v>1760604.97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713469.28</v>
      </c>
      <c r="G351" s="41">
        <f>G337</f>
        <v>260869.83999999997</v>
      </c>
      <c r="H351" s="41">
        <f>H337</f>
        <v>492126.33999999997</v>
      </c>
      <c r="I351" s="41">
        <f>I337</f>
        <v>80491.360000000001</v>
      </c>
      <c r="J351" s="41">
        <f>J337</f>
        <v>211323.59</v>
      </c>
      <c r="K351" s="47">
        <f>K337+K350</f>
        <v>2324.56</v>
      </c>
      <c r="L351" s="41">
        <f>L337+L350</f>
        <v>1760604.97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96316.53</v>
      </c>
      <c r="G357" s="18">
        <v>72770.14</v>
      </c>
      <c r="H357" s="18">
        <v>10344.36</v>
      </c>
      <c r="I357" s="18">
        <v>143284.64000000001</v>
      </c>
      <c r="J357" s="18"/>
      <c r="K357" s="18"/>
      <c r="L357" s="13">
        <f>SUM(F357:K357)</f>
        <v>322715.67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42951.97</v>
      </c>
      <c r="G358" s="18">
        <v>32451.55</v>
      </c>
      <c r="H358" s="18">
        <v>4613.03</v>
      </c>
      <c r="I358" s="18">
        <v>63897.2</v>
      </c>
      <c r="J358" s="18"/>
      <c r="K358" s="18"/>
      <c r="L358" s="19">
        <f>SUM(F358:K358)</f>
        <v>143913.75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121046.45</v>
      </c>
      <c r="G359" s="18">
        <v>91454.37</v>
      </c>
      <c r="H359" s="18">
        <v>13000.34</v>
      </c>
      <c r="I359" s="18">
        <v>180073.94</v>
      </c>
      <c r="J359" s="18"/>
      <c r="K359" s="18"/>
      <c r="L359" s="19">
        <f>SUM(F359:K359)</f>
        <v>405575.1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260314.95</v>
      </c>
      <c r="G361" s="47">
        <f t="shared" si="22"/>
        <v>196676.06</v>
      </c>
      <c r="H361" s="47">
        <f t="shared" si="22"/>
        <v>27957.73</v>
      </c>
      <c r="I361" s="47">
        <f t="shared" si="22"/>
        <v>387255.78</v>
      </c>
      <c r="J361" s="47">
        <f t="shared" si="22"/>
        <v>0</v>
      </c>
      <c r="K361" s="47">
        <f t="shared" si="22"/>
        <v>0</v>
      </c>
      <c r="L361" s="47">
        <f t="shared" si="22"/>
        <v>872204.52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133705.5</v>
      </c>
      <c r="G366" s="18">
        <v>59625.43</v>
      </c>
      <c r="H366" s="18">
        <v>168035.3</v>
      </c>
      <c r="I366" s="56">
        <f>SUM(F366:H366)</f>
        <v>361366.23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9579.14</v>
      </c>
      <c r="G367" s="63">
        <v>4271.7700000000004</v>
      </c>
      <c r="H367" s="63">
        <v>12038.64</v>
      </c>
      <c r="I367" s="56">
        <f>SUM(F367:H367)</f>
        <v>25889.55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143284.64000000001</v>
      </c>
      <c r="G368" s="47">
        <f>SUM(G366:G367)</f>
        <v>63897.2</v>
      </c>
      <c r="H368" s="47">
        <f>SUM(H366:H367)</f>
        <v>180073.94</v>
      </c>
      <c r="I368" s="47">
        <f>SUM(I366:I367)</f>
        <v>387255.77999999997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>
        <v>76917.75</v>
      </c>
      <c r="I374" s="18"/>
      <c r="J374" s="18"/>
      <c r="K374" s="18"/>
      <c r="L374" s="13">
        <f t="shared" ref="L374:L380" si="23">SUM(F374:K374)</f>
        <v>76917.75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10</v>
      </c>
      <c r="I379" s="18"/>
      <c r="J379" s="18"/>
      <c r="K379" s="18">
        <v>116691</v>
      </c>
      <c r="L379" s="13">
        <f t="shared" si="23"/>
        <v>116701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76927.75</v>
      </c>
      <c r="I381" s="41">
        <f t="shared" si="24"/>
        <v>0</v>
      </c>
      <c r="J381" s="47">
        <f t="shared" si="24"/>
        <v>0</v>
      </c>
      <c r="K381" s="47">
        <f t="shared" si="24"/>
        <v>116691</v>
      </c>
      <c r="L381" s="47">
        <f t="shared" si="24"/>
        <v>193618.75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18.010000000000002</v>
      </c>
      <c r="I389" s="18"/>
      <c r="J389" s="24" t="s">
        <v>289</v>
      </c>
      <c r="K389" s="24" t="s">
        <v>289</v>
      </c>
      <c r="L389" s="56">
        <f t="shared" si="25"/>
        <v>18.010000000000002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22.79</v>
      </c>
      <c r="I391" s="18"/>
      <c r="J391" s="24" t="s">
        <v>289</v>
      </c>
      <c r="K391" s="24" t="s">
        <v>289</v>
      </c>
      <c r="L391" s="56">
        <f t="shared" si="25"/>
        <v>22.79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40.799999999999997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40.799999999999997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81429</v>
      </c>
      <c r="H395" s="18">
        <v>319.75</v>
      </c>
      <c r="I395" s="18"/>
      <c r="J395" s="24" t="s">
        <v>289</v>
      </c>
      <c r="K395" s="24" t="s">
        <v>289</v>
      </c>
      <c r="L395" s="56">
        <f t="shared" si="26"/>
        <v>81748.75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150.1</v>
      </c>
      <c r="I396" s="18"/>
      <c r="J396" s="24" t="s">
        <v>289</v>
      </c>
      <c r="K396" s="24" t="s">
        <v>289</v>
      </c>
      <c r="L396" s="56">
        <f t="shared" si="26"/>
        <v>150.1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33.92</v>
      </c>
      <c r="I397" s="18"/>
      <c r="J397" s="24" t="s">
        <v>289</v>
      </c>
      <c r="K397" s="24" t="s">
        <v>289</v>
      </c>
      <c r="L397" s="56">
        <f t="shared" si="26"/>
        <v>33.92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81429</v>
      </c>
      <c r="H400" s="47">
        <f>SUM(H394:H399)</f>
        <v>503.77000000000004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81932.77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 t="s">
        <v>912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26.8</v>
      </c>
      <c r="I402" s="18"/>
      <c r="J402" s="24" t="s">
        <v>289</v>
      </c>
      <c r="K402" s="24" t="s">
        <v>289</v>
      </c>
      <c r="L402" s="56">
        <f>SUM(F402:K402)</f>
        <v>26.8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26.8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26.8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81429</v>
      </c>
      <c r="H407" s="47">
        <f>H392+H400+H406</f>
        <v>571.37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82000.37000000001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>
        <v>20000</v>
      </c>
      <c r="L415" s="56">
        <f t="shared" si="27"/>
        <v>20000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20000</v>
      </c>
      <c r="L418" s="47">
        <f t="shared" si="28"/>
        <v>20000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912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2000</v>
      </c>
      <c r="I428" s="18"/>
      <c r="J428" s="18"/>
      <c r="K428" s="18"/>
      <c r="L428" s="56">
        <f>SUM(F428:K428)</f>
        <v>2000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2000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2000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2000</v>
      </c>
      <c r="I433" s="47">
        <f t="shared" si="32"/>
        <v>0</v>
      </c>
      <c r="J433" s="47">
        <f t="shared" si="32"/>
        <v>0</v>
      </c>
      <c r="K433" s="47">
        <f t="shared" si="32"/>
        <v>20000</v>
      </c>
      <c r="L433" s="47">
        <f t="shared" si="32"/>
        <v>22000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54737.06</v>
      </c>
      <c r="G438" s="18">
        <v>733539.31</v>
      </c>
      <c r="H438" s="18">
        <v>34371.800000000003</v>
      </c>
      <c r="I438" s="56">
        <f t="shared" ref="I438:I444" si="33">SUM(F438:H438)</f>
        <v>822648.17000000016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54737.06</v>
      </c>
      <c r="G445" s="13">
        <f>SUM(G438:G444)</f>
        <v>733539.31</v>
      </c>
      <c r="H445" s="13">
        <f>SUM(H438:H444)</f>
        <v>34371.800000000003</v>
      </c>
      <c r="I445" s="13">
        <f>SUM(I438:I444)</f>
        <v>822648.17000000016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20000</v>
      </c>
      <c r="G447" s="18"/>
      <c r="H447" s="18"/>
      <c r="I447" s="56">
        <f>SUM(F447:H447)</f>
        <v>20000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20000</v>
      </c>
      <c r="G451" s="72">
        <f>SUM(G447:G450)</f>
        <v>0</v>
      </c>
      <c r="H451" s="72">
        <f>SUM(H447:H450)</f>
        <v>0</v>
      </c>
      <c r="I451" s="72">
        <f>SUM(I447:I450)</f>
        <v>20000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34737.06</v>
      </c>
      <c r="G458" s="18">
        <v>733539.31</v>
      </c>
      <c r="H458" s="18">
        <v>34371.800000000003</v>
      </c>
      <c r="I458" s="56">
        <f t="shared" si="34"/>
        <v>802648.17000000016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34737.06</v>
      </c>
      <c r="G459" s="83">
        <f>SUM(G453:G458)</f>
        <v>733539.31</v>
      </c>
      <c r="H459" s="83">
        <f>SUM(H453:H458)</f>
        <v>34371.800000000003</v>
      </c>
      <c r="I459" s="83">
        <f>SUM(I453:I458)</f>
        <v>802648.17000000016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54737.06</v>
      </c>
      <c r="G460" s="42">
        <f>G451+G459</f>
        <v>733539.31</v>
      </c>
      <c r="H460" s="42">
        <f>H451+H459</f>
        <v>34371.800000000003</v>
      </c>
      <c r="I460" s="42">
        <f>I451+I459</f>
        <v>822648.17000000016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628668.41</v>
      </c>
      <c r="G464" s="18">
        <v>88526.81</v>
      </c>
      <c r="H464" s="18">
        <v>81099.91</v>
      </c>
      <c r="I464" s="18">
        <v>207013.88</v>
      </c>
      <c r="J464" s="18">
        <v>742647.8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30336199.809999999</v>
      </c>
      <c r="G467" s="18">
        <v>823885.19</v>
      </c>
      <c r="H467" s="18">
        <v>1762899.65</v>
      </c>
      <c r="I467" s="18">
        <v>229.14</v>
      </c>
      <c r="J467" s="18">
        <v>82000.37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18364.7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30336199.809999999</v>
      </c>
      <c r="G469" s="53">
        <f>SUM(G467:G468)</f>
        <v>842249.8899999999</v>
      </c>
      <c r="H469" s="53">
        <f>SUM(H467:H468)</f>
        <v>1762899.65</v>
      </c>
      <c r="I469" s="53">
        <f>SUM(I467:I468)</f>
        <v>229.14</v>
      </c>
      <c r="J469" s="53">
        <f>SUM(J467:J468)</f>
        <v>82000.37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30494135.989999998</v>
      </c>
      <c r="G471" s="18">
        <v>872204.52</v>
      </c>
      <c r="H471" s="18">
        <v>1760604.97</v>
      </c>
      <c r="I471" s="18">
        <v>193618.75</v>
      </c>
      <c r="J471" s="18">
        <v>22000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30494135.989999998</v>
      </c>
      <c r="G473" s="53">
        <f>SUM(G471:G472)</f>
        <v>872204.52</v>
      </c>
      <c r="H473" s="53">
        <f>SUM(H471:H472)</f>
        <v>1760604.97</v>
      </c>
      <c r="I473" s="53">
        <f>SUM(I471:I472)</f>
        <v>193618.75</v>
      </c>
      <c r="J473" s="53">
        <f>SUM(J471:J472)</f>
        <v>22000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470732.23000000045</v>
      </c>
      <c r="G475" s="53">
        <f>(G464+G469)- G473</f>
        <v>58572.179999999935</v>
      </c>
      <c r="H475" s="53">
        <f>(H464+H469)- H473</f>
        <v>83394.589999999851</v>
      </c>
      <c r="I475" s="53">
        <f>(I464+I469)- I473</f>
        <v>13624.270000000019</v>
      </c>
      <c r="J475" s="53">
        <f>(J464+J469)- J473</f>
        <v>802648.17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913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5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914</v>
      </c>
      <c r="G490" s="155" t="s">
        <v>915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916</v>
      </c>
      <c r="G491" s="155" t="s">
        <v>917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42120000</v>
      </c>
      <c r="G492" s="18">
        <v>243600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</v>
      </c>
      <c r="G493" s="18">
        <v>3.83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24010000</v>
      </c>
      <c r="G494" s="18">
        <v>485000</v>
      </c>
      <c r="H494" s="18"/>
      <c r="I494" s="18"/>
      <c r="J494" s="18"/>
      <c r="K494" s="53">
        <f>SUM(F494:J494)</f>
        <v>24495000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1850000</v>
      </c>
      <c r="G496" s="18">
        <v>485000</v>
      </c>
      <c r="H496" s="18"/>
      <c r="I496" s="18"/>
      <c r="J496" s="18"/>
      <c r="K496" s="53">
        <f t="shared" si="35"/>
        <v>2335000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22160</v>
      </c>
      <c r="G497" s="205">
        <v>0</v>
      </c>
      <c r="H497" s="205"/>
      <c r="I497" s="205"/>
      <c r="J497" s="205"/>
      <c r="K497" s="206">
        <f t="shared" si="35"/>
        <v>22160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6144999.7599999998</v>
      </c>
      <c r="G498" s="18">
        <v>0</v>
      </c>
      <c r="H498" s="18"/>
      <c r="I498" s="18"/>
      <c r="J498" s="18"/>
      <c r="K498" s="53">
        <f t="shared" si="35"/>
        <v>6144999.7599999998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6167159.7599999998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6167159.7599999998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1850000</v>
      </c>
      <c r="G500" s="205">
        <v>0</v>
      </c>
      <c r="H500" s="205"/>
      <c r="I500" s="205"/>
      <c r="J500" s="205"/>
      <c r="K500" s="206">
        <f t="shared" si="35"/>
        <v>1850000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995225</v>
      </c>
      <c r="G501" s="18">
        <v>0</v>
      </c>
      <c r="H501" s="18"/>
      <c r="I501" s="18"/>
      <c r="J501" s="18"/>
      <c r="K501" s="53">
        <f t="shared" si="35"/>
        <v>995225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2845225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2845225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993681.18</v>
      </c>
      <c r="G520" s="18">
        <v>654920.97</v>
      </c>
      <c r="H520" s="18">
        <v>1092056.6499999999</v>
      </c>
      <c r="I520" s="18">
        <v>10971.83</v>
      </c>
      <c r="J520" s="18">
        <v>35381.78</v>
      </c>
      <c r="K520" s="18"/>
      <c r="L520" s="88">
        <f>SUM(F520:K520)</f>
        <v>2787012.4099999997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407396.4</v>
      </c>
      <c r="G521" s="18">
        <v>294989.15999999997</v>
      </c>
      <c r="H521" s="18">
        <v>26036.39</v>
      </c>
      <c r="I521" s="18">
        <v>787.25</v>
      </c>
      <c r="J521" s="18">
        <v>16675.47</v>
      </c>
      <c r="K521" s="18"/>
      <c r="L521" s="88">
        <f>SUM(F521:K521)</f>
        <v>745884.67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625874.53</v>
      </c>
      <c r="G522" s="18">
        <v>398808.1</v>
      </c>
      <c r="H522" s="18">
        <v>855814.04</v>
      </c>
      <c r="I522" s="18">
        <v>2218.61</v>
      </c>
      <c r="J522" s="18">
        <v>14365.85</v>
      </c>
      <c r="K522" s="18"/>
      <c r="L522" s="88">
        <f>SUM(F522:K522)</f>
        <v>1897081.1300000001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2026952.11</v>
      </c>
      <c r="G523" s="108">
        <f t="shared" ref="G523:L523" si="36">SUM(G520:G522)</f>
        <v>1348718.23</v>
      </c>
      <c r="H523" s="108">
        <f t="shared" si="36"/>
        <v>1973907.0799999998</v>
      </c>
      <c r="I523" s="108">
        <f t="shared" si="36"/>
        <v>13977.69</v>
      </c>
      <c r="J523" s="108">
        <f t="shared" si="36"/>
        <v>66423.100000000006</v>
      </c>
      <c r="K523" s="108">
        <f t="shared" si="36"/>
        <v>0</v>
      </c>
      <c r="L523" s="89">
        <f t="shared" si="36"/>
        <v>5429978.21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276901.02</v>
      </c>
      <c r="G525" s="18">
        <v>154626.74</v>
      </c>
      <c r="H525" s="18">
        <v>178910.94</v>
      </c>
      <c r="I525" s="18"/>
      <c r="J525" s="18"/>
      <c r="K525" s="18"/>
      <c r="L525" s="88">
        <f>SUM(F525:K525)</f>
        <v>610438.69999999995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71397.78</v>
      </c>
      <c r="G526" s="18">
        <v>27428.86</v>
      </c>
      <c r="H526" s="18">
        <v>22583.31</v>
      </c>
      <c r="I526" s="18">
        <v>985.31</v>
      </c>
      <c r="J526" s="18"/>
      <c r="K526" s="18"/>
      <c r="L526" s="88">
        <f>SUM(F526:K526)</f>
        <v>122395.26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162946.39000000001</v>
      </c>
      <c r="G527" s="18">
        <v>87348.87</v>
      </c>
      <c r="H527" s="18">
        <v>30043.25</v>
      </c>
      <c r="I527" s="18">
        <v>1058.7</v>
      </c>
      <c r="J527" s="18"/>
      <c r="K527" s="18"/>
      <c r="L527" s="88">
        <f>SUM(F527:K527)</f>
        <v>281397.21000000002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511245.19000000006</v>
      </c>
      <c r="G528" s="89">
        <f t="shared" ref="G528:L528" si="37">SUM(G525:G527)</f>
        <v>269404.46999999997</v>
      </c>
      <c r="H528" s="89">
        <f t="shared" si="37"/>
        <v>231537.5</v>
      </c>
      <c r="I528" s="89">
        <f t="shared" si="37"/>
        <v>2044.01</v>
      </c>
      <c r="J528" s="89">
        <f t="shared" si="37"/>
        <v>0</v>
      </c>
      <c r="K528" s="89">
        <f t="shared" si="37"/>
        <v>0</v>
      </c>
      <c r="L528" s="89">
        <f t="shared" si="37"/>
        <v>1014231.1699999999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127702.74</v>
      </c>
      <c r="I530" s="18"/>
      <c r="J530" s="18"/>
      <c r="K530" s="18"/>
      <c r="L530" s="88">
        <f>SUM(F530:K530)</f>
        <v>127702.74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23650.98</v>
      </c>
      <c r="I531" s="18"/>
      <c r="J531" s="18"/>
      <c r="K531" s="18"/>
      <c r="L531" s="88">
        <f>SUM(F531:K531)</f>
        <v>23650.98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66652.75</v>
      </c>
      <c r="I532" s="18"/>
      <c r="J532" s="18"/>
      <c r="K532" s="18"/>
      <c r="L532" s="88">
        <f>SUM(F532:K532)</f>
        <v>66652.75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218006.47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218006.47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22905.23</v>
      </c>
      <c r="G540" s="18">
        <v>13435.73</v>
      </c>
      <c r="H540" s="18">
        <v>21066.31</v>
      </c>
      <c r="I540" s="18">
        <v>15687.25</v>
      </c>
      <c r="J540" s="18"/>
      <c r="K540" s="18"/>
      <c r="L540" s="88">
        <f>SUM(F540:K540)</f>
        <v>73094.52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3054.03</v>
      </c>
      <c r="G541" s="18">
        <v>1791.43</v>
      </c>
      <c r="H541" s="18">
        <v>947</v>
      </c>
      <c r="I541" s="18">
        <v>2091.63</v>
      </c>
      <c r="J541" s="18"/>
      <c r="K541" s="18"/>
      <c r="L541" s="88">
        <f>SUM(F541:K541)</f>
        <v>7884.09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4581.05</v>
      </c>
      <c r="G542" s="18">
        <v>2687.14</v>
      </c>
      <c r="H542" s="18">
        <v>45841.08</v>
      </c>
      <c r="I542" s="18">
        <v>3137.45</v>
      </c>
      <c r="J542" s="18"/>
      <c r="K542" s="18"/>
      <c r="L542" s="88">
        <f>SUM(F542:K542)</f>
        <v>56246.720000000001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30540.309999999998</v>
      </c>
      <c r="G543" s="194">
        <f t="shared" ref="G543:L543" si="40">SUM(G540:G542)</f>
        <v>17914.3</v>
      </c>
      <c r="H543" s="194">
        <f t="shared" si="40"/>
        <v>67854.39</v>
      </c>
      <c r="I543" s="194">
        <f t="shared" si="40"/>
        <v>20916.330000000002</v>
      </c>
      <c r="J543" s="194">
        <f t="shared" si="40"/>
        <v>0</v>
      </c>
      <c r="K543" s="194">
        <f t="shared" si="40"/>
        <v>0</v>
      </c>
      <c r="L543" s="194">
        <f t="shared" si="40"/>
        <v>137225.33000000002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2568737.6100000003</v>
      </c>
      <c r="G544" s="89">
        <f t="shared" ref="G544:L544" si="41">G523+G528+G533+G538+G543</f>
        <v>1636037</v>
      </c>
      <c r="H544" s="89">
        <f t="shared" si="41"/>
        <v>2491305.4400000004</v>
      </c>
      <c r="I544" s="89">
        <f t="shared" si="41"/>
        <v>36938.03</v>
      </c>
      <c r="J544" s="89">
        <f t="shared" si="41"/>
        <v>66423.100000000006</v>
      </c>
      <c r="K544" s="89">
        <f t="shared" si="41"/>
        <v>0</v>
      </c>
      <c r="L544" s="89">
        <f t="shared" si="41"/>
        <v>6799441.1799999997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2787012.4099999997</v>
      </c>
      <c r="G548" s="87">
        <f>L525</f>
        <v>610438.69999999995</v>
      </c>
      <c r="H548" s="87">
        <f>L530</f>
        <v>127702.74</v>
      </c>
      <c r="I548" s="87">
        <f>L535</f>
        <v>0</v>
      </c>
      <c r="J548" s="87">
        <f>L540</f>
        <v>73094.52</v>
      </c>
      <c r="K548" s="87">
        <f>SUM(F548:J548)</f>
        <v>3598248.3699999996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745884.67</v>
      </c>
      <c r="G549" s="87">
        <f>L526</f>
        <v>122395.26</v>
      </c>
      <c r="H549" s="87">
        <f>L531</f>
        <v>23650.98</v>
      </c>
      <c r="I549" s="87">
        <f>L536</f>
        <v>0</v>
      </c>
      <c r="J549" s="87">
        <f>L541</f>
        <v>7884.09</v>
      </c>
      <c r="K549" s="87">
        <f>SUM(F549:J549)</f>
        <v>899815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1897081.1300000001</v>
      </c>
      <c r="G550" s="87">
        <f>L527</f>
        <v>281397.21000000002</v>
      </c>
      <c r="H550" s="87">
        <f>L532</f>
        <v>66652.75</v>
      </c>
      <c r="I550" s="87">
        <f>L537</f>
        <v>0</v>
      </c>
      <c r="J550" s="87">
        <f>L542</f>
        <v>56246.720000000001</v>
      </c>
      <c r="K550" s="87">
        <f>SUM(F550:J550)</f>
        <v>2301377.8100000005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5429978.21</v>
      </c>
      <c r="G551" s="89">
        <f t="shared" si="42"/>
        <v>1014231.1699999999</v>
      </c>
      <c r="H551" s="89">
        <f t="shared" si="42"/>
        <v>218006.47</v>
      </c>
      <c r="I551" s="89">
        <f t="shared" si="42"/>
        <v>0</v>
      </c>
      <c r="J551" s="89">
        <f t="shared" si="42"/>
        <v>137225.33000000002</v>
      </c>
      <c r="K551" s="89">
        <f t="shared" si="42"/>
        <v>6799441.1799999997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89107.38</v>
      </c>
      <c r="G578" s="18"/>
      <c r="H578" s="18">
        <v>16401</v>
      </c>
      <c r="I578" s="87">
        <f t="shared" si="47"/>
        <v>105508.38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688524.05</v>
      </c>
      <c r="G581" s="18">
        <v>8888.8700000000008</v>
      </c>
      <c r="H581" s="18">
        <v>397803.25</v>
      </c>
      <c r="I581" s="87">
        <f t="shared" si="47"/>
        <v>1095216.17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157743.87</v>
      </c>
      <c r="G582" s="18"/>
      <c r="H582" s="18">
        <v>402692.55</v>
      </c>
      <c r="I582" s="87">
        <f t="shared" si="47"/>
        <v>560436.41999999993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159510.12</v>
      </c>
      <c r="I590" s="18">
        <v>81306.009999999995</v>
      </c>
      <c r="J590" s="18">
        <v>233142.39</v>
      </c>
      <c r="K590" s="104">
        <f t="shared" ref="K590:K596" si="48">SUM(H590:J590)</f>
        <v>473958.52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73094.52</v>
      </c>
      <c r="I591" s="18">
        <v>7884.09</v>
      </c>
      <c r="J591" s="18">
        <v>56246.720000000001</v>
      </c>
      <c r="K591" s="104">
        <f t="shared" si="48"/>
        <v>137225.33000000002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9545.84</v>
      </c>
      <c r="J593" s="18">
        <v>39614.120000000003</v>
      </c>
      <c r="K593" s="104">
        <f t="shared" si="48"/>
        <v>49159.960000000006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17703.330000000002</v>
      </c>
      <c r="I594" s="18">
        <v>4192.3100000000004</v>
      </c>
      <c r="J594" s="18">
        <v>6777.18</v>
      </c>
      <c r="K594" s="104">
        <f t="shared" si="48"/>
        <v>28672.820000000003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14992.75</v>
      </c>
      <c r="I596" s="18"/>
      <c r="J596" s="18"/>
      <c r="K596" s="104">
        <f t="shared" si="48"/>
        <v>14992.75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265300.72000000003</v>
      </c>
      <c r="I597" s="108">
        <f>SUM(I590:I596)</f>
        <v>102928.24999999999</v>
      </c>
      <c r="J597" s="108">
        <f>SUM(J590:J596)</f>
        <v>335780.41</v>
      </c>
      <c r="K597" s="108">
        <f>SUM(K590:K596)</f>
        <v>704009.38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213238.34</v>
      </c>
      <c r="I603" s="18">
        <v>90237.41</v>
      </c>
      <c r="J603" s="18">
        <v>160034.57999999999</v>
      </c>
      <c r="K603" s="104">
        <f>SUM(H603:J603)</f>
        <v>463510.32999999996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213238.34</v>
      </c>
      <c r="I604" s="108">
        <f>SUM(I601:I603)</f>
        <v>90237.41</v>
      </c>
      <c r="J604" s="108">
        <f>SUM(J601:J603)</f>
        <v>160034.57999999999</v>
      </c>
      <c r="K604" s="108">
        <f>SUM(K601:K603)</f>
        <v>463510.32999999996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5040</v>
      </c>
      <c r="G611" s="18">
        <v>938.22</v>
      </c>
      <c r="H611" s="18"/>
      <c r="I611" s="18"/>
      <c r="J611" s="18"/>
      <c r="K611" s="18"/>
      <c r="L611" s="88">
        <f>SUM(F611:K611)</f>
        <v>5978.22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6500</v>
      </c>
      <c r="G612" s="18">
        <v>974.94</v>
      </c>
      <c r="H612" s="18"/>
      <c r="I612" s="18"/>
      <c r="J612" s="18"/>
      <c r="K612" s="18"/>
      <c r="L612" s="88">
        <f>SUM(F612:K612)</f>
        <v>7474.9400000000005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11540</v>
      </c>
      <c r="G613" s="108">
        <f t="shared" si="49"/>
        <v>1913.16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13453.16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709964.06</v>
      </c>
      <c r="H616" s="109">
        <f>SUM(F51)</f>
        <v>709964.05999999994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165960.03</v>
      </c>
      <c r="H617" s="109">
        <f>SUM(G51)</f>
        <v>165960.03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298519.94999999995</v>
      </c>
      <c r="H618" s="109">
        <f>SUM(H51)</f>
        <v>298519.95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16799.27</v>
      </c>
      <c r="H619" s="109">
        <f>SUM(I51)</f>
        <v>16799.27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822648.17000000016</v>
      </c>
      <c r="H620" s="109">
        <f>SUM(J51)</f>
        <v>822648.17000000016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470732.23</v>
      </c>
      <c r="H621" s="109">
        <f>F475</f>
        <v>470732.23000000045</v>
      </c>
      <c r="I621" s="121" t="s">
        <v>101</v>
      </c>
      <c r="J621" s="109">
        <f t="shared" ref="J621:J654" si="50">G621-H621</f>
        <v>-4.6566128730773926E-10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58572.18</v>
      </c>
      <c r="H622" s="109">
        <f>G475</f>
        <v>58572.179999999935</v>
      </c>
      <c r="I622" s="121" t="s">
        <v>102</v>
      </c>
      <c r="J622" s="109">
        <f t="shared" si="50"/>
        <v>6.5483618527650833E-11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83394.59</v>
      </c>
      <c r="H623" s="109">
        <f>H475</f>
        <v>83394.589999999851</v>
      </c>
      <c r="I623" s="121" t="s">
        <v>103</v>
      </c>
      <c r="J623" s="109">
        <f t="shared" si="50"/>
        <v>1.4551915228366852E-10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13624.27</v>
      </c>
      <c r="H624" s="109">
        <f>I475</f>
        <v>13624.270000000019</v>
      </c>
      <c r="I624" s="121" t="s">
        <v>104</v>
      </c>
      <c r="J624" s="109">
        <f t="shared" si="50"/>
        <v>-1.8189894035458565E-11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802648.17000000016</v>
      </c>
      <c r="H625" s="109">
        <f>J475</f>
        <v>802648.17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30336199.809999999</v>
      </c>
      <c r="H626" s="104">
        <f>SUM(F467)</f>
        <v>30336199.809999999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823885.19</v>
      </c>
      <c r="H627" s="104">
        <f>SUM(G467)</f>
        <v>823885.19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1762899.6500000001</v>
      </c>
      <c r="H628" s="104">
        <f>SUM(H467)</f>
        <v>1762899.65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229.14</v>
      </c>
      <c r="H629" s="104">
        <f>SUM(I467)</f>
        <v>229.14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82000.37</v>
      </c>
      <c r="H630" s="104">
        <f>SUM(J467)</f>
        <v>82000.37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30494135.990000002</v>
      </c>
      <c r="H631" s="104">
        <f>SUM(F471)</f>
        <v>30494135.989999998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1760604.97</v>
      </c>
      <c r="H632" s="104">
        <f>SUM(H471)</f>
        <v>1760604.97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387255.78</v>
      </c>
      <c r="H633" s="104">
        <f>I368</f>
        <v>387255.77999999997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872204.52</v>
      </c>
      <c r="H634" s="104">
        <f>SUM(G471)</f>
        <v>872204.52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193618.75</v>
      </c>
      <c r="H635" s="104">
        <f>SUM(I471)</f>
        <v>193618.75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82000.37000000001</v>
      </c>
      <c r="H636" s="164">
        <f>SUM(J467)</f>
        <v>82000.37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22000</v>
      </c>
      <c r="H637" s="164">
        <f>SUM(J471)</f>
        <v>22000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54737.06</v>
      </c>
      <c r="H638" s="104">
        <f>SUM(F460)</f>
        <v>54737.06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733539.31</v>
      </c>
      <c r="H639" s="104">
        <f>SUM(G460)</f>
        <v>733539.31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34371.800000000003</v>
      </c>
      <c r="H640" s="104">
        <f>SUM(H460)</f>
        <v>34371.800000000003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822648.17000000016</v>
      </c>
      <c r="H641" s="104">
        <f>SUM(I460)</f>
        <v>822648.17000000016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571.37</v>
      </c>
      <c r="H643" s="104">
        <f>H407</f>
        <v>571.37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81429</v>
      </c>
      <c r="H644" s="104">
        <f>G407</f>
        <v>81429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82000.37</v>
      </c>
      <c r="H645" s="104">
        <f>L407</f>
        <v>82000.37000000001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704009.38</v>
      </c>
      <c r="H646" s="104">
        <f>L207+L225+L243</f>
        <v>704009.38000000012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463510.32999999996</v>
      </c>
      <c r="H647" s="104">
        <f>(J256+J337)-(J254+J335)</f>
        <v>463510.32999999996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265300.72000000003</v>
      </c>
      <c r="H648" s="104">
        <f>H597</f>
        <v>265300.72000000003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102928.25</v>
      </c>
      <c r="H649" s="104">
        <f>I597</f>
        <v>102928.24999999999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335780.41000000003</v>
      </c>
      <c r="H650" s="104">
        <f>J597</f>
        <v>335780.41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81429</v>
      </c>
      <c r="H654" s="104">
        <f>K265+K346</f>
        <v>81429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12010739.41</v>
      </c>
      <c r="G659" s="19">
        <f>(L228+L308+L358)</f>
        <v>5005940.4500000011</v>
      </c>
      <c r="H659" s="19">
        <f>(L246+L327+L359)</f>
        <v>12515777.26</v>
      </c>
      <c r="I659" s="19">
        <f>SUM(F659:H659)</f>
        <v>29532457.119999997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149613.8870873384</v>
      </c>
      <c r="G660" s="19">
        <f>(L358/IF(SUM(L357:L359)=0,1,SUM(L357:L359))*(SUM(G96:G109)))</f>
        <v>66719.708847157774</v>
      </c>
      <c r="H660" s="19">
        <f>(L359/IF(SUM(L357:L359)=0,1,SUM(L357:L359))*(SUM(G96:G109)))</f>
        <v>188028.26406550378</v>
      </c>
      <c r="I660" s="19">
        <f>SUM(F660:H660)</f>
        <v>404361.86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265338.81000000006</v>
      </c>
      <c r="G661" s="19">
        <f>(L225+L305)-(J225+J305)</f>
        <v>89058.25</v>
      </c>
      <c r="H661" s="19">
        <f>(L243+L324)-(J243+J324)</f>
        <v>299508.02</v>
      </c>
      <c r="I661" s="19">
        <f>SUM(F661:H661)</f>
        <v>653905.08000000007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1148613.6400000001</v>
      </c>
      <c r="G662" s="200">
        <f>SUM(G574:G586)+SUM(I601:I603)+L611</f>
        <v>105104.5</v>
      </c>
      <c r="H662" s="200">
        <f>SUM(H574:H586)+SUM(J601:J603)+L612</f>
        <v>984406.32</v>
      </c>
      <c r="I662" s="19">
        <f>SUM(F662:H662)</f>
        <v>2238124.46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10447173.072912661</v>
      </c>
      <c r="G663" s="19">
        <f>G659-SUM(G660:G662)</f>
        <v>4745057.9911528435</v>
      </c>
      <c r="H663" s="19">
        <f>H659-SUM(H660:H662)</f>
        <v>11043834.655934496</v>
      </c>
      <c r="I663" s="19">
        <f>I659-SUM(I660:I662)</f>
        <v>26236065.719999999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676.25</v>
      </c>
      <c r="G664" s="249">
        <v>303.83999999999997</v>
      </c>
      <c r="H664" s="249">
        <v>834.06</v>
      </c>
      <c r="I664" s="19">
        <f>SUM(F664:H664)</f>
        <v>1814.1499999999999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15448.68</v>
      </c>
      <c r="G666" s="19">
        <f>ROUND(G663/G664,2)</f>
        <v>15616.96</v>
      </c>
      <c r="H666" s="19">
        <f>ROUND(H663/H664,2)</f>
        <v>13241.06</v>
      </c>
      <c r="I666" s="19">
        <f>ROUND(I663/I664,2)</f>
        <v>14461.91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15448.68</v>
      </c>
      <c r="G671" s="19">
        <f>ROUND((G663+G668)/(G664+G669),2)</f>
        <v>15616.96</v>
      </c>
      <c r="H671" s="19">
        <f>ROUND((H663+H668)/(H664+H669),2)</f>
        <v>13241.06</v>
      </c>
      <c r="I671" s="19">
        <f>ROUND((I663+I668)/(I664+I669),2)</f>
        <v>14461.91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 xml:space="preserve">               CONWAY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6873357.79</v>
      </c>
      <c r="C9" s="230">
        <f>'DOE25'!G196+'DOE25'!G214+'DOE25'!G232+'DOE25'!G275+'DOE25'!G294+'DOE25'!G313</f>
        <v>4334729.37</v>
      </c>
    </row>
    <row r="10" spans="1:3" x14ac:dyDescent="0.2">
      <c r="A10" t="s">
        <v>779</v>
      </c>
      <c r="B10" s="241">
        <v>6131732.3600000003</v>
      </c>
      <c r="C10" s="241">
        <v>4039967.78</v>
      </c>
    </row>
    <row r="11" spans="1:3" x14ac:dyDescent="0.2">
      <c r="A11" t="s">
        <v>780</v>
      </c>
      <c r="B11" s="241">
        <v>191331.89</v>
      </c>
      <c r="C11" s="241">
        <v>151715.51999999999</v>
      </c>
    </row>
    <row r="12" spans="1:3" x14ac:dyDescent="0.2">
      <c r="A12" t="s">
        <v>781</v>
      </c>
      <c r="B12" s="241">
        <v>550293.54</v>
      </c>
      <c r="C12" s="241">
        <v>143046.07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6873357.79</v>
      </c>
      <c r="C13" s="232">
        <f>SUM(C10:C12)</f>
        <v>4334729.37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2026952.11</v>
      </c>
      <c r="C18" s="230">
        <f>'DOE25'!G197+'DOE25'!G215+'DOE25'!G233+'DOE25'!G276+'DOE25'!G295+'DOE25'!G314</f>
        <v>1348718.23</v>
      </c>
    </row>
    <row r="19" spans="1:3" x14ac:dyDescent="0.2">
      <c r="A19" t="s">
        <v>779</v>
      </c>
      <c r="B19" s="241">
        <v>1051706.24</v>
      </c>
      <c r="C19" s="241">
        <v>523504.98</v>
      </c>
    </row>
    <row r="20" spans="1:3" x14ac:dyDescent="0.2">
      <c r="A20" t="s">
        <v>780</v>
      </c>
      <c r="B20" s="241">
        <v>940387.25</v>
      </c>
      <c r="C20" s="241">
        <v>822718.12</v>
      </c>
    </row>
    <row r="21" spans="1:3" x14ac:dyDescent="0.2">
      <c r="A21" t="s">
        <v>781</v>
      </c>
      <c r="B21" s="241">
        <v>34858.620000000003</v>
      </c>
      <c r="C21" s="241">
        <v>2495.13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2026952.11</v>
      </c>
      <c r="C22" s="232">
        <f>SUM(C19:C21)</f>
        <v>1348718.23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493203.28</v>
      </c>
      <c r="C27" s="235">
        <f>'DOE25'!G198+'DOE25'!G216+'DOE25'!G234+'DOE25'!G277+'DOE25'!G296+'DOE25'!G315</f>
        <v>212824.63999999998</v>
      </c>
    </row>
    <row r="28" spans="1:3" x14ac:dyDescent="0.2">
      <c r="A28" t="s">
        <v>779</v>
      </c>
      <c r="B28" s="241">
        <v>395971.28</v>
      </c>
      <c r="C28" s="241">
        <v>182263.21</v>
      </c>
    </row>
    <row r="29" spans="1:3" x14ac:dyDescent="0.2">
      <c r="A29" t="s">
        <v>780</v>
      </c>
      <c r="B29" s="241">
        <v>36632</v>
      </c>
      <c r="C29" s="241">
        <v>14971.59</v>
      </c>
    </row>
    <row r="30" spans="1:3" x14ac:dyDescent="0.2">
      <c r="A30" t="s">
        <v>781</v>
      </c>
      <c r="B30" s="241">
        <v>60600</v>
      </c>
      <c r="C30" s="241">
        <v>15589.84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493203.28</v>
      </c>
      <c r="C31" s="232">
        <f>SUM(C28:C30)</f>
        <v>212824.63999999998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397282.8</v>
      </c>
      <c r="C36" s="236">
        <f>'DOE25'!G199+'DOE25'!G217+'DOE25'!G235+'DOE25'!G278+'DOE25'!G297+'DOE25'!G316</f>
        <v>64267.96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397282.8</v>
      </c>
      <c r="C39" s="241">
        <v>64267.96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397282.8</v>
      </c>
      <c r="C40" s="232">
        <f>SUM(C37:C39)</f>
        <v>64267.96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 xml:space="preserve">               CONWAY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17549554.600000001</v>
      </c>
      <c r="D5" s="20">
        <f>SUM('DOE25'!L196:L199)+SUM('DOE25'!L214:L217)+SUM('DOE25'!L232:L235)-F5-G5</f>
        <v>17411064.280000001</v>
      </c>
      <c r="E5" s="244"/>
      <c r="F5" s="256">
        <f>SUM('DOE25'!J196:J199)+SUM('DOE25'!J214:J217)+SUM('DOE25'!J232:J235)</f>
        <v>127786.6</v>
      </c>
      <c r="G5" s="53">
        <f>SUM('DOE25'!K196:K199)+SUM('DOE25'!K214:K217)+SUM('DOE25'!K232:K235)</f>
        <v>10703.72</v>
      </c>
      <c r="H5" s="260"/>
    </row>
    <row r="6" spans="1:9" x14ac:dyDescent="0.2">
      <c r="A6" s="32">
        <v>2100</v>
      </c>
      <c r="B6" t="s">
        <v>801</v>
      </c>
      <c r="C6" s="246">
        <f t="shared" si="0"/>
        <v>2152609.02</v>
      </c>
      <c r="D6" s="20">
        <f>'DOE25'!L201+'DOE25'!L219+'DOE25'!L237-F6-G6</f>
        <v>2150461.2600000002</v>
      </c>
      <c r="E6" s="244"/>
      <c r="F6" s="256">
        <f>'DOE25'!J201+'DOE25'!J219+'DOE25'!J237</f>
        <v>2147.7600000000002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494512.67000000004</v>
      </c>
      <c r="D7" s="20">
        <f>'DOE25'!L202+'DOE25'!L220+'DOE25'!L238-F7-G7</f>
        <v>488101.84</v>
      </c>
      <c r="E7" s="244"/>
      <c r="F7" s="256">
        <f>'DOE25'!J202+'DOE25'!J220+'DOE25'!J238</f>
        <v>4439.83</v>
      </c>
      <c r="G7" s="53">
        <f>'DOE25'!K202+'DOE25'!K220+'DOE25'!K238</f>
        <v>1971</v>
      </c>
      <c r="H7" s="260"/>
    </row>
    <row r="8" spans="1:9" x14ac:dyDescent="0.2">
      <c r="A8" s="32">
        <v>2300</v>
      </c>
      <c r="B8" t="s">
        <v>802</v>
      </c>
      <c r="C8" s="246">
        <f t="shared" si="0"/>
        <v>576469.05000000005</v>
      </c>
      <c r="D8" s="244"/>
      <c r="E8" s="20">
        <f>'DOE25'!L203+'DOE25'!L221+'DOE25'!L239-F8-G8-D9-D11</f>
        <v>566462.79</v>
      </c>
      <c r="F8" s="256">
        <f>'DOE25'!J203+'DOE25'!J221+'DOE25'!J239</f>
        <v>4500</v>
      </c>
      <c r="G8" s="53">
        <f>'DOE25'!K203+'DOE25'!K221+'DOE25'!K239</f>
        <v>5506.26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128562.46</v>
      </c>
      <c r="D9" s="245">
        <v>128562.46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18920</v>
      </c>
      <c r="D10" s="244"/>
      <c r="E10" s="245">
        <v>18920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220157.95</v>
      </c>
      <c r="D11" s="245">
        <v>220157.95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1569485.4500000002</v>
      </c>
      <c r="D12" s="20">
        <f>'DOE25'!L204+'DOE25'!L222+'DOE25'!L240-F12-G12</f>
        <v>1546802.99</v>
      </c>
      <c r="E12" s="244"/>
      <c r="F12" s="256">
        <f>'DOE25'!J204+'DOE25'!J222+'DOE25'!J240</f>
        <v>4917.8600000000006</v>
      </c>
      <c r="G12" s="53">
        <f>'DOE25'!K204+'DOE25'!K222+'DOE25'!K240</f>
        <v>17764.600000000002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3532613.2399999998</v>
      </c>
      <c r="D14" s="20">
        <f>'DOE25'!L206+'DOE25'!L224+'DOE25'!L242-F14-G14</f>
        <v>3508282.55</v>
      </c>
      <c r="E14" s="244"/>
      <c r="F14" s="256">
        <f>'DOE25'!J206+'DOE25'!J224+'DOE25'!J242</f>
        <v>24330.690000000002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704009.38000000012</v>
      </c>
      <c r="D15" s="20">
        <f>'DOE25'!L207+'DOE25'!L225+'DOE25'!L243-F15-G15</f>
        <v>619945.38000000012</v>
      </c>
      <c r="E15" s="244"/>
      <c r="F15" s="256">
        <f>'DOE25'!J207+'DOE25'!J225+'DOE25'!J243</f>
        <v>84064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2093</v>
      </c>
      <c r="D16" s="244"/>
      <c r="E16" s="20">
        <f>'DOE25'!L208+'DOE25'!L226+'DOE25'!L244-F16-G16</f>
        <v>2093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3446967.5</v>
      </c>
      <c r="D25" s="244"/>
      <c r="E25" s="244"/>
      <c r="F25" s="259"/>
      <c r="G25" s="257"/>
      <c r="H25" s="258">
        <f>'DOE25'!L259+'DOE25'!L260+'DOE25'!L340+'DOE25'!L341</f>
        <v>3446967.5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510838.29000000004</v>
      </c>
      <c r="D29" s="20">
        <f>'DOE25'!L357+'DOE25'!L358+'DOE25'!L359-'DOE25'!I366-F29-G29</f>
        <v>510838.29000000004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1760604.97</v>
      </c>
      <c r="D31" s="20">
        <f>'DOE25'!L289+'DOE25'!L308+'DOE25'!L327+'DOE25'!L332+'DOE25'!L333+'DOE25'!L334-F31-G31</f>
        <v>1546956.8199999998</v>
      </c>
      <c r="E31" s="244"/>
      <c r="F31" s="256">
        <f>'DOE25'!J289+'DOE25'!J308+'DOE25'!J327+'DOE25'!J332+'DOE25'!J333+'DOE25'!J334</f>
        <v>211323.59</v>
      </c>
      <c r="G31" s="53">
        <f>'DOE25'!K289+'DOE25'!K308+'DOE25'!K327+'DOE25'!K332+'DOE25'!K333+'DOE25'!K334</f>
        <v>2324.56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28131173.82</v>
      </c>
      <c r="E33" s="247">
        <f>SUM(E5:E31)</f>
        <v>587475.79</v>
      </c>
      <c r="F33" s="247">
        <f>SUM(F5:F31)</f>
        <v>463510.32999999996</v>
      </c>
      <c r="G33" s="247">
        <f>SUM(G5:G31)</f>
        <v>38270.14</v>
      </c>
      <c r="H33" s="247">
        <f>SUM(H5:H31)</f>
        <v>3446967.5</v>
      </c>
    </row>
    <row r="35" spans="2:8" ht="12" thickBot="1" x14ac:dyDescent="0.25">
      <c r="B35" s="254" t="s">
        <v>847</v>
      </c>
      <c r="D35" s="255">
        <f>E33</f>
        <v>587475.79</v>
      </c>
      <c r="E35" s="250"/>
    </row>
    <row r="36" spans="2:8" ht="12" thickTop="1" x14ac:dyDescent="0.2">
      <c r="B36" t="s">
        <v>815</v>
      </c>
      <c r="D36" s="20">
        <f>D33</f>
        <v>28131173.82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CONWAY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304697.7</v>
      </c>
      <c r="D8" s="95">
        <f>'DOE25'!G9</f>
        <v>48887.360000000001</v>
      </c>
      <c r="E8" s="95">
        <f>'DOE25'!H9</f>
        <v>0</v>
      </c>
      <c r="F8" s="95">
        <f>'DOE25'!I9</f>
        <v>16799.27</v>
      </c>
      <c r="G8" s="95">
        <f>'DOE25'!J9</f>
        <v>822648.17000000016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341893.59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53808.160000000003</v>
      </c>
      <c r="D12" s="95">
        <f>'DOE25'!G13</f>
        <v>76813.7</v>
      </c>
      <c r="E12" s="95">
        <f>'DOE25'!H13</f>
        <v>296470.84999999998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9564.61</v>
      </c>
      <c r="D13" s="95">
        <f>'DOE25'!G14</f>
        <v>659.65</v>
      </c>
      <c r="E13" s="95">
        <f>'DOE25'!H14</f>
        <v>2049.1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39599.32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709964.06</v>
      </c>
      <c r="D18" s="41">
        <f>SUM(D8:D17)</f>
        <v>165960.03</v>
      </c>
      <c r="E18" s="41">
        <f>SUM(E8:E17)</f>
        <v>298519.94999999995</v>
      </c>
      <c r="F18" s="41">
        <f>SUM(F8:F17)</f>
        <v>16799.27</v>
      </c>
      <c r="G18" s="41">
        <f>SUM(G8:G17)</f>
        <v>822648.17000000016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107361.49</v>
      </c>
      <c r="E21" s="95">
        <f>'DOE25'!H22</f>
        <v>214532.1</v>
      </c>
      <c r="F21" s="95">
        <f>'DOE25'!I22</f>
        <v>0</v>
      </c>
      <c r="G21" s="95">
        <f>'DOE25'!J22</f>
        <v>20000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208688.87</v>
      </c>
      <c r="D23" s="95">
        <f>'DOE25'!G24</f>
        <v>26.36</v>
      </c>
      <c r="E23" s="95">
        <f>'DOE25'!H24</f>
        <v>0</v>
      </c>
      <c r="F23" s="95">
        <f>'DOE25'!I24</f>
        <v>3175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29435.34</v>
      </c>
      <c r="D27" s="95">
        <f>'DOE25'!G28</f>
        <v>0</v>
      </c>
      <c r="E27" s="95">
        <f>'DOE25'!H28</f>
        <v>593.26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1107.6199999999999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239231.83</v>
      </c>
      <c r="D31" s="41">
        <f>SUM(D21:D30)</f>
        <v>107387.85</v>
      </c>
      <c r="E31" s="41">
        <f>SUM(E21:E30)</f>
        <v>215125.36000000002</v>
      </c>
      <c r="F31" s="41">
        <f>SUM(F21:F30)</f>
        <v>3175</v>
      </c>
      <c r="G31" s="41">
        <f>SUM(G21:G30)</f>
        <v>20000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39599.32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18972.86</v>
      </c>
      <c r="E46" s="95">
        <f>'DOE25'!H47</f>
        <v>83394.59</v>
      </c>
      <c r="F46" s="95">
        <f>'DOE25'!I47</f>
        <v>13624.27</v>
      </c>
      <c r="G46" s="95">
        <f>'DOE25'!J47</f>
        <v>802648.17000000016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470732.23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470732.23</v>
      </c>
      <c r="D49" s="41">
        <f>SUM(D34:D48)</f>
        <v>58572.18</v>
      </c>
      <c r="E49" s="41">
        <f>SUM(E34:E48)</f>
        <v>83394.59</v>
      </c>
      <c r="F49" s="41">
        <f>SUM(F34:F48)</f>
        <v>13624.27</v>
      </c>
      <c r="G49" s="41">
        <f>SUM(G34:G48)</f>
        <v>802648.17000000016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709964.05999999994</v>
      </c>
      <c r="D50" s="41">
        <f>D49+D31</f>
        <v>165960.03</v>
      </c>
      <c r="E50" s="41">
        <f>E49+E31</f>
        <v>298519.95</v>
      </c>
      <c r="F50" s="41">
        <f>F49+F31</f>
        <v>16799.27</v>
      </c>
      <c r="G50" s="41">
        <f>G49+G31</f>
        <v>822648.17000000016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12094168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9535119.0299999993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43102.06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118650.52</v>
      </c>
      <c r="D58" s="95">
        <f>'DOE25'!G95</f>
        <v>200.38</v>
      </c>
      <c r="E58" s="95">
        <f>'DOE25'!H95</f>
        <v>0</v>
      </c>
      <c r="F58" s="95">
        <f>'DOE25'!I95</f>
        <v>229.14</v>
      </c>
      <c r="G58" s="95">
        <f>'DOE25'!J95</f>
        <v>571.37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404361.86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282568.34999999998</v>
      </c>
      <c r="D60" s="95">
        <f>SUM('DOE25'!G97:G109)</f>
        <v>0</v>
      </c>
      <c r="E60" s="95">
        <f>SUM('DOE25'!H97:H109)</f>
        <v>140502.34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9979439.959999999</v>
      </c>
      <c r="D61" s="130">
        <f>SUM(D56:D60)</f>
        <v>404562.24</v>
      </c>
      <c r="E61" s="130">
        <f>SUM(E56:E60)</f>
        <v>140502.34</v>
      </c>
      <c r="F61" s="130">
        <f>SUM(F56:F60)</f>
        <v>229.14</v>
      </c>
      <c r="G61" s="130">
        <f>SUM(G56:G60)</f>
        <v>571.37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22073607.960000001</v>
      </c>
      <c r="D62" s="22">
        <f>D55+D61</f>
        <v>404562.24</v>
      </c>
      <c r="E62" s="22">
        <f>E55+E61</f>
        <v>140502.34</v>
      </c>
      <c r="F62" s="22">
        <f>F55+F61</f>
        <v>229.14</v>
      </c>
      <c r="G62" s="22">
        <f>G55+G61</f>
        <v>571.37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2929483.8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3475856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2538.1999999999998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19227.77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6427105.7699999996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1362788.65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204261.84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10953.49</v>
      </c>
      <c r="E76" s="95">
        <f>SUM('DOE25'!H130:H134)</f>
        <v>64148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1567050.49</v>
      </c>
      <c r="D77" s="130">
        <f>SUM(D71:D76)</f>
        <v>10953.49</v>
      </c>
      <c r="E77" s="130">
        <f>SUM(E71:E76)</f>
        <v>64148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7994156.2599999998</v>
      </c>
      <c r="D80" s="130">
        <f>SUM(D78:D79)+D77+D69</f>
        <v>10953.49</v>
      </c>
      <c r="E80" s="130">
        <f>SUM(E78:E79)+E77+E69</f>
        <v>64148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247300.38</v>
      </c>
      <c r="D87" s="95">
        <f>SUM('DOE25'!G152:G160)</f>
        <v>408369.46</v>
      </c>
      <c r="E87" s="95">
        <f>SUM('DOE25'!H152:H160)</f>
        <v>1558249.31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1135.21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248435.59</v>
      </c>
      <c r="D90" s="131">
        <f>SUM(D84:D89)</f>
        <v>408369.46</v>
      </c>
      <c r="E90" s="131">
        <f>SUM(E84:E89)</f>
        <v>1558249.31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81429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20000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81429</v>
      </c>
    </row>
    <row r="103" spans="1:7" ht="12.75" thickTop="1" thickBot="1" x14ac:dyDescent="0.25">
      <c r="A103" s="33" t="s">
        <v>765</v>
      </c>
      <c r="C103" s="86">
        <f>C62+C80+C90+C102</f>
        <v>30336199.809999999</v>
      </c>
      <c r="D103" s="86">
        <f>D62+D80+D90+D102</f>
        <v>823885.19</v>
      </c>
      <c r="E103" s="86">
        <f>E62+E80+E90+E102</f>
        <v>1762899.6500000001</v>
      </c>
      <c r="F103" s="86">
        <f>F62+F80+F90+F102</f>
        <v>229.14</v>
      </c>
      <c r="G103" s="86">
        <f>G62+G80+G102</f>
        <v>82000.37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11082737.199999999</v>
      </c>
      <c r="D108" s="24" t="s">
        <v>289</v>
      </c>
      <c r="E108" s="95">
        <f>('DOE25'!L275)+('DOE25'!L294)+('DOE25'!L313)</f>
        <v>657994.14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5275616.2300000004</v>
      </c>
      <c r="D109" s="24" t="s">
        <v>289</v>
      </c>
      <c r="E109" s="95">
        <f>('DOE25'!L276)+('DOE25'!L295)+('DOE25'!L314)</f>
        <v>154361.98000000001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777061.24</v>
      </c>
      <c r="D110" s="24" t="s">
        <v>289</v>
      </c>
      <c r="E110" s="95">
        <f>('DOE25'!L277)+('DOE25'!L296)+('DOE25'!L315)</f>
        <v>81497.86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414139.92999999993</v>
      </c>
      <c r="D111" s="24" t="s">
        <v>289</v>
      </c>
      <c r="E111" s="95">
        <f>+('DOE25'!L278)+('DOE25'!L297)+('DOE25'!L316)</f>
        <v>201764.35999999996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30419.189999999995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17549554.599999998</v>
      </c>
      <c r="D114" s="86">
        <f>SUM(D108:D113)</f>
        <v>0</v>
      </c>
      <c r="E114" s="86">
        <f>SUM(E108:E113)</f>
        <v>1126037.5299999998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2152609.02</v>
      </c>
      <c r="D117" s="24" t="s">
        <v>289</v>
      </c>
      <c r="E117" s="95">
        <f>+('DOE25'!L280)+('DOE25'!L299)+('DOE25'!L318)</f>
        <v>255232.58000000002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494512.67000000004</v>
      </c>
      <c r="D118" s="24" t="s">
        <v>289</v>
      </c>
      <c r="E118" s="95">
        <f>+('DOE25'!L281)+('DOE25'!L300)+('DOE25'!L319)</f>
        <v>345375.16000000003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925189.46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1569485.4500000002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3532613.2399999998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704009.38000000012</v>
      </c>
      <c r="D123" s="24" t="s">
        <v>289</v>
      </c>
      <c r="E123" s="95">
        <f>+('DOE25'!L286)+('DOE25'!L305)+('DOE25'!L324)</f>
        <v>33959.699999999997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872204.52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9380512.2200000007</v>
      </c>
      <c r="D127" s="86">
        <f>SUM(D117:D126)</f>
        <v>872204.52</v>
      </c>
      <c r="E127" s="86">
        <f>SUM(E117:E126)</f>
        <v>634567.43999999994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193618.75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2335000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1111967.5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20000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40.799999999999997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81932.77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26.8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-571.3700000000099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35672.67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3564069.1699999995</v>
      </c>
      <c r="D143" s="141">
        <f>SUM(D129:D142)</f>
        <v>0</v>
      </c>
      <c r="E143" s="141">
        <f>SUM(E129:E142)</f>
        <v>0</v>
      </c>
      <c r="F143" s="141">
        <f>SUM(F129:F142)</f>
        <v>193618.75</v>
      </c>
      <c r="G143" s="141">
        <f>SUM(G129:G142)</f>
        <v>20000</v>
      </c>
    </row>
    <row r="144" spans="1:7" ht="12.75" thickTop="1" thickBot="1" x14ac:dyDescent="0.25">
      <c r="A144" s="33" t="s">
        <v>244</v>
      </c>
      <c r="C144" s="86">
        <f>(C114+C127+C143)</f>
        <v>30494135.989999998</v>
      </c>
      <c r="D144" s="86">
        <f>(D114+D127+D143)</f>
        <v>872204.52</v>
      </c>
      <c r="E144" s="86">
        <f>(E114+E127+E143)</f>
        <v>1760604.9699999997</v>
      </c>
      <c r="F144" s="86">
        <f>(F114+F127+F143)</f>
        <v>193618.75</v>
      </c>
      <c r="G144" s="86">
        <f>(G114+G127+G143)</f>
        <v>20000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5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12/2003</v>
      </c>
      <c r="C151" s="152" t="str">
        <f>'DOE25'!G490</f>
        <v>12/2006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1/2024</v>
      </c>
      <c r="C152" s="152" t="str">
        <f>'DOE25'!G491</f>
        <v>1/2012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42120000</v>
      </c>
      <c r="C153" s="137">
        <f>'DOE25'!G492</f>
        <v>243600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</v>
      </c>
      <c r="C154" s="137">
        <f>'DOE25'!G493</f>
        <v>3.83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24010000</v>
      </c>
      <c r="C155" s="137">
        <f>'DOE25'!G494</f>
        <v>485000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24495000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1850000</v>
      </c>
      <c r="C157" s="137">
        <f>'DOE25'!G496</f>
        <v>485000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2335000</v>
      </c>
    </row>
    <row r="158" spans="1:9" x14ac:dyDescent="0.2">
      <c r="A158" s="22" t="s">
        <v>35</v>
      </c>
      <c r="B158" s="137">
        <f>'DOE25'!F497</f>
        <v>22160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22160</v>
      </c>
    </row>
    <row r="159" spans="1:9" x14ac:dyDescent="0.2">
      <c r="A159" s="22" t="s">
        <v>36</v>
      </c>
      <c r="B159" s="137">
        <f>'DOE25'!F498</f>
        <v>6144999.7599999998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6144999.7599999998</v>
      </c>
    </row>
    <row r="160" spans="1:9" x14ac:dyDescent="0.2">
      <c r="A160" s="22" t="s">
        <v>37</v>
      </c>
      <c r="B160" s="137">
        <f>'DOE25'!F499</f>
        <v>6167159.7599999998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6167159.7599999998</v>
      </c>
    </row>
    <row r="161" spans="1:7" x14ac:dyDescent="0.2">
      <c r="A161" s="22" t="s">
        <v>38</v>
      </c>
      <c r="B161" s="137">
        <f>'DOE25'!F500</f>
        <v>1850000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1850000</v>
      </c>
    </row>
    <row r="162" spans="1:7" x14ac:dyDescent="0.2">
      <c r="A162" s="22" t="s">
        <v>39</v>
      </c>
      <c r="B162" s="137">
        <f>'DOE25'!F501</f>
        <v>995225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995225</v>
      </c>
    </row>
    <row r="163" spans="1:7" x14ac:dyDescent="0.2">
      <c r="A163" s="22" t="s">
        <v>246</v>
      </c>
      <c r="B163" s="137">
        <f>'DOE25'!F502</f>
        <v>2845225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2845225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32" workbookViewId="0">
      <selection activeCell="B65" sqref="B6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 xml:space="preserve">               CONWAY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15449</v>
      </c>
    </row>
    <row r="5" spans="1:4" x14ac:dyDescent="0.2">
      <c r="B5" t="s">
        <v>704</v>
      </c>
      <c r="C5" s="179">
        <f>IF('DOE25'!G664+'DOE25'!G669=0,0,ROUND('DOE25'!G671,0))</f>
        <v>15617</v>
      </c>
    </row>
    <row r="6" spans="1:4" x14ac:dyDescent="0.2">
      <c r="B6" t="s">
        <v>62</v>
      </c>
      <c r="C6" s="179">
        <f>IF('DOE25'!H664+'DOE25'!H669=0,0,ROUND('DOE25'!H671,0))</f>
        <v>13241</v>
      </c>
    </row>
    <row r="7" spans="1:4" x14ac:dyDescent="0.2">
      <c r="B7" t="s">
        <v>705</v>
      </c>
      <c r="C7" s="179">
        <f>IF('DOE25'!I664+'DOE25'!I669=0,0,ROUND('DOE25'!I671,0))</f>
        <v>14462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11740731</v>
      </c>
      <c r="D10" s="182">
        <f>ROUND((C10/$C$28)*100,1)</f>
        <v>38.700000000000003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5429978</v>
      </c>
      <c r="D11" s="182">
        <f>ROUND((C11/$C$28)*100,1)</f>
        <v>17.899999999999999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858559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615904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2407842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839888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927282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1569485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3532613</v>
      </c>
      <c r="D20" s="182">
        <f t="shared" si="0"/>
        <v>11.7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737969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30419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1111968</v>
      </c>
      <c r="D25" s="182">
        <f t="shared" si="0"/>
        <v>3.7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35672.67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467843.14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30306153.810000002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193619</v>
      </c>
    </row>
    <row r="30" spans="1:4" x14ac:dyDescent="0.2">
      <c r="B30" s="187" t="s">
        <v>729</v>
      </c>
      <c r="C30" s="180">
        <f>SUM(C28:C29)</f>
        <v>30499772.810000002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2335000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12094168</v>
      </c>
      <c r="D35" s="182">
        <f t="shared" ref="D35:D40" si="1">ROUND((C35/$C$41)*100,1)</f>
        <v>37.200000000000003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10120943.190000001</v>
      </c>
      <c r="D36" s="182">
        <f t="shared" si="1"/>
        <v>31.1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6407878</v>
      </c>
      <c r="D37" s="182">
        <f t="shared" si="1"/>
        <v>19.7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1661380</v>
      </c>
      <c r="D38" s="182">
        <f t="shared" si="1"/>
        <v>5.0999999999999996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2215054</v>
      </c>
      <c r="D39" s="182">
        <f t="shared" si="1"/>
        <v>6.8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32499423.190000001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4" t="s">
        <v>767</v>
      </c>
      <c r="B2" s="295"/>
      <c r="C2" s="295"/>
      <c r="D2" s="295"/>
      <c r="E2" s="295"/>
      <c r="F2" s="290" t="str">
        <f>'DOE25'!A2</f>
        <v xml:space="preserve">               CONWAY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4</v>
      </c>
      <c r="B4" s="220">
        <v>4</v>
      </c>
      <c r="C4" s="271" t="s">
        <v>910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14</v>
      </c>
      <c r="C5" s="282" t="s">
        <v>911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20</v>
      </c>
      <c r="B6" s="220">
        <v>10</v>
      </c>
      <c r="C6" s="282" t="s">
        <v>918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2"/>
      <c r="B74" s="212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2"/>
      <c r="B75" s="212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2"/>
      <c r="B76" s="212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2"/>
      <c r="B77" s="212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2"/>
      <c r="B78" s="212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2"/>
      <c r="B79" s="212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2"/>
      <c r="B80" s="212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2"/>
      <c r="B81" s="212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2"/>
      <c r="B82" s="212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2"/>
      <c r="B83" s="212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2"/>
      <c r="B84" s="212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2"/>
      <c r="B85" s="212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2"/>
      <c r="B86" s="212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2"/>
      <c r="B87" s="212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2"/>
      <c r="B88" s="212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2"/>
      <c r="B89" s="212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2"/>
      <c r="B90" s="212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F0A" sheet="1" objects="1" scenarios="1"/>
  <mergeCells count="222"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29:M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2012-09-05T17:59:44Z</cp:lastPrinted>
  <dcterms:created xsi:type="dcterms:W3CDTF">1997-12-04T19:04:30Z</dcterms:created>
  <dcterms:modified xsi:type="dcterms:W3CDTF">2012-11-21T14:25:33Z</dcterms:modified>
</cp:coreProperties>
</file>