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B19" i="12"/>
  <c r="B20" i="12"/>
  <c r="C10" i="12"/>
  <c r="B12" i="12"/>
  <c r="B13" i="12"/>
  <c r="D9" i="13"/>
  <c r="F468" i="1"/>
  <c r="G468" i="1"/>
  <c r="G40" i="1"/>
  <c r="G109" i="1"/>
  <c r="G110" i="1" s="1"/>
  <c r="G157" i="1"/>
  <c r="F367" i="1"/>
  <c r="I367" i="1" s="1"/>
  <c r="F366" i="1"/>
  <c r="I357" i="1"/>
  <c r="H525" i="1"/>
  <c r="K522" i="1"/>
  <c r="J522" i="1"/>
  <c r="I522" i="1"/>
  <c r="G522" i="1"/>
  <c r="K521" i="1"/>
  <c r="J521" i="1"/>
  <c r="I521" i="1"/>
  <c r="H521" i="1"/>
  <c r="G521" i="1"/>
  <c r="F522" i="1"/>
  <c r="F521" i="1"/>
  <c r="F501" i="1"/>
  <c r="F500" i="1"/>
  <c r="F498" i="1"/>
  <c r="F497" i="1"/>
  <c r="H22" i="1"/>
  <c r="H47" i="1"/>
  <c r="H153" i="1"/>
  <c r="H154" i="1"/>
  <c r="F49" i="1"/>
  <c r="K275" i="1"/>
  <c r="K276" i="1"/>
  <c r="K520" i="1" s="1"/>
  <c r="J281" i="1"/>
  <c r="I281" i="1"/>
  <c r="H281" i="1"/>
  <c r="G281" i="1"/>
  <c r="F281" i="1"/>
  <c r="H276" i="1"/>
  <c r="G276" i="1"/>
  <c r="F276" i="1"/>
  <c r="L276" i="1" s="1"/>
  <c r="J275" i="1"/>
  <c r="J289" i="1"/>
  <c r="I275" i="1"/>
  <c r="H275" i="1"/>
  <c r="G275" i="1"/>
  <c r="F275" i="1"/>
  <c r="I278" i="1"/>
  <c r="H278" i="1"/>
  <c r="G278" i="1"/>
  <c r="F278" i="1"/>
  <c r="H77" i="1"/>
  <c r="H78" i="1"/>
  <c r="E56" i="2" s="1"/>
  <c r="H134" i="1"/>
  <c r="H151" i="1"/>
  <c r="H575" i="1"/>
  <c r="F458" i="1"/>
  <c r="I458" i="1" s="1"/>
  <c r="F439" i="1"/>
  <c r="G464" i="1"/>
  <c r="G182" i="1"/>
  <c r="I206" i="1"/>
  <c r="K262" i="1"/>
  <c r="K265" i="1"/>
  <c r="K260" i="1"/>
  <c r="K259" i="1"/>
  <c r="K269" i="1" s="1"/>
  <c r="H243" i="1"/>
  <c r="J591" i="1" s="1"/>
  <c r="H207" i="1"/>
  <c r="H206" i="1"/>
  <c r="G206" i="1"/>
  <c r="F206" i="1"/>
  <c r="L206" i="1" s="1"/>
  <c r="K204" i="1"/>
  <c r="I204" i="1"/>
  <c r="H204" i="1"/>
  <c r="G204" i="1"/>
  <c r="L204" i="1" s="1"/>
  <c r="C18" i="10" s="1"/>
  <c r="F204" i="1"/>
  <c r="H203" i="1"/>
  <c r="K203" i="1"/>
  <c r="I203" i="1"/>
  <c r="G203" i="1"/>
  <c r="F203" i="1"/>
  <c r="L203" i="1" s="1"/>
  <c r="I202" i="1"/>
  <c r="H202" i="1"/>
  <c r="G202" i="1"/>
  <c r="F202" i="1"/>
  <c r="L202" i="1" s="1"/>
  <c r="C118" i="2" s="1"/>
  <c r="I201" i="1"/>
  <c r="H201" i="1"/>
  <c r="G201" i="1"/>
  <c r="F201" i="1"/>
  <c r="L201" i="1" s="1"/>
  <c r="I199" i="1"/>
  <c r="H199" i="1"/>
  <c r="G199" i="1"/>
  <c r="F199" i="1"/>
  <c r="G197" i="1"/>
  <c r="G520" i="1" s="1"/>
  <c r="F197" i="1"/>
  <c r="J197" i="1"/>
  <c r="J520" i="1" s="1"/>
  <c r="J523" i="1" s="1"/>
  <c r="I197" i="1"/>
  <c r="I520" i="1" s="1"/>
  <c r="I523" i="1" s="1"/>
  <c r="H197" i="1"/>
  <c r="H233" i="1"/>
  <c r="H232" i="1"/>
  <c r="J196" i="1"/>
  <c r="I196" i="1"/>
  <c r="H196" i="1"/>
  <c r="H210" i="1" s="1"/>
  <c r="G196" i="1"/>
  <c r="F196" i="1"/>
  <c r="F57" i="1"/>
  <c r="F56" i="1"/>
  <c r="F59" i="1" s="1"/>
  <c r="C55" i="2" s="1"/>
  <c r="F116" i="1"/>
  <c r="F29" i="1"/>
  <c r="F9" i="1"/>
  <c r="F40" i="2"/>
  <c r="F49" i="2" s="1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L226" i="1"/>
  <c r="L244" i="1"/>
  <c r="F6" i="13"/>
  <c r="F7" i="13"/>
  <c r="F12" i="13"/>
  <c r="F14" i="13"/>
  <c r="F15" i="13"/>
  <c r="F17" i="13"/>
  <c r="F18" i="13"/>
  <c r="F19" i="13"/>
  <c r="F29" i="13"/>
  <c r="G5" i="13"/>
  <c r="L196" i="1"/>
  <c r="L198" i="1"/>
  <c r="L214" i="1"/>
  <c r="L215" i="1"/>
  <c r="L216" i="1"/>
  <c r="L217" i="1"/>
  <c r="L232" i="1"/>
  <c r="L234" i="1"/>
  <c r="L235" i="1"/>
  <c r="G6" i="13"/>
  <c r="L219" i="1"/>
  <c r="L237" i="1"/>
  <c r="G7" i="13"/>
  <c r="L220" i="1"/>
  <c r="L238" i="1"/>
  <c r="G12" i="13"/>
  <c r="L222" i="1"/>
  <c r="L240" i="1"/>
  <c r="G14" i="13"/>
  <c r="L224" i="1"/>
  <c r="L242" i="1"/>
  <c r="G15" i="13"/>
  <c r="L225" i="1"/>
  <c r="G661" i="1" s="1"/>
  <c r="L243" i="1"/>
  <c r="G17" i="13"/>
  <c r="D17" i="13" s="1"/>
  <c r="C17" i="13" s="1"/>
  <c r="L250" i="1"/>
  <c r="G18" i="13"/>
  <c r="L251" i="1"/>
  <c r="G19" i="13"/>
  <c r="D19" i="13" s="1"/>
  <c r="C19" i="13" s="1"/>
  <c r="L252" i="1"/>
  <c r="G29" i="13"/>
  <c r="L358" i="1"/>
  <c r="L359" i="1"/>
  <c r="J308" i="1"/>
  <c r="J327" i="1"/>
  <c r="J337" i="1" s="1"/>
  <c r="J351" i="1" s="1"/>
  <c r="K308" i="1"/>
  <c r="K327" i="1"/>
  <c r="L277" i="1"/>
  <c r="L278" i="1"/>
  <c r="E111" i="2" s="1"/>
  <c r="L280" i="1"/>
  <c r="E117" i="2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130" i="2" s="1"/>
  <c r="L260" i="1"/>
  <c r="L340" i="1"/>
  <c r="E130" i="2" s="1"/>
  <c r="E143" i="2" s="1"/>
  <c r="L341" i="1"/>
  <c r="L254" i="1"/>
  <c r="L335" i="1"/>
  <c r="C11" i="13"/>
  <c r="C10" i="13"/>
  <c r="C9" i="13"/>
  <c r="L360" i="1"/>
  <c r="B4" i="12"/>
  <c r="C36" i="12"/>
  <c r="B40" i="12"/>
  <c r="C40" i="12"/>
  <c r="B27" i="12"/>
  <c r="C27" i="12"/>
  <c r="B31" i="12"/>
  <c r="C31" i="12"/>
  <c r="C9" i="12"/>
  <c r="C13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/>
  <c r="L611" i="1"/>
  <c r="G662" i="1"/>
  <c r="L610" i="1"/>
  <c r="C40" i="10"/>
  <c r="G59" i="1"/>
  <c r="H59" i="1"/>
  <c r="I59" i="1"/>
  <c r="F78" i="1"/>
  <c r="F93" i="1"/>
  <c r="C57" i="2" s="1"/>
  <c r="F110" i="1"/>
  <c r="H93" i="1"/>
  <c r="E57" i="2" s="1"/>
  <c r="H110" i="1"/>
  <c r="I110" i="1"/>
  <c r="J110" i="1"/>
  <c r="F120" i="1"/>
  <c r="F139" i="1" s="1"/>
  <c r="F135" i="1"/>
  <c r="G120" i="1"/>
  <c r="G135" i="1"/>
  <c r="H120" i="1"/>
  <c r="H135" i="1"/>
  <c r="I120" i="1"/>
  <c r="I139" i="1" s="1"/>
  <c r="I135" i="1"/>
  <c r="J120" i="1"/>
  <c r="J135" i="1"/>
  <c r="F146" i="1"/>
  <c r="F161" i="1"/>
  <c r="G146" i="1"/>
  <c r="G161" i="1"/>
  <c r="G168" i="1" s="1"/>
  <c r="H146" i="1"/>
  <c r="I146" i="1"/>
  <c r="I161" i="1"/>
  <c r="C12" i="10"/>
  <c r="L249" i="1"/>
  <c r="L331" i="1"/>
  <c r="E112" i="2" s="1"/>
  <c r="L253" i="1"/>
  <c r="C25" i="10"/>
  <c r="L267" i="1"/>
  <c r="L268" i="1"/>
  <c r="C142" i="2" s="1"/>
  <c r="L348" i="1"/>
  <c r="E141" i="2" s="1"/>
  <c r="L349" i="1"/>
  <c r="I664" i="1"/>
  <c r="I669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E136" i="2" s="1"/>
  <c r="L346" i="1"/>
  <c r="K350" i="1"/>
  <c r="L525" i="1"/>
  <c r="G548" i="1" s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 s="1"/>
  <c r="L540" i="1"/>
  <c r="L541" i="1"/>
  <c r="J549" i="1" s="1"/>
  <c r="L542" i="1"/>
  <c r="J550" i="1" s="1"/>
  <c r="E131" i="2"/>
  <c r="J269" i="1"/>
  <c r="I269" i="1"/>
  <c r="H269" i="1"/>
  <c r="G269" i="1"/>
  <c r="F269" i="1"/>
  <c r="L269" i="1" s="1"/>
  <c r="C131" i="2"/>
  <c r="A1" i="2"/>
  <c r="A2" i="2"/>
  <c r="C8" i="2"/>
  <c r="C9" i="2"/>
  <c r="C10" i="2"/>
  <c r="C11" i="2"/>
  <c r="C12" i="2"/>
  <c r="C13" i="2"/>
  <c r="C15" i="2"/>
  <c r="C16" i="2"/>
  <c r="C17" i="2"/>
  <c r="D8" i="2"/>
  <c r="E8" i="2"/>
  <c r="F8" i="2"/>
  <c r="I438" i="1"/>
  <c r="J9" i="1" s="1"/>
  <c r="D9" i="2"/>
  <c r="E9" i="2"/>
  <c r="F9" i="2"/>
  <c r="F11" i="2"/>
  <c r="F12" i="2"/>
  <c r="F13" i="2"/>
  <c r="F14" i="2"/>
  <c r="F15" i="2"/>
  <c r="F16" i="2"/>
  <c r="F17" i="2"/>
  <c r="F18" i="2"/>
  <c r="I439" i="1"/>
  <c r="J10" i="1"/>
  <c r="G9" i="2" s="1"/>
  <c r="D11" i="2"/>
  <c r="E11" i="2"/>
  <c r="E18" i="2" s="1"/>
  <c r="I440" i="1"/>
  <c r="J12" i="1" s="1"/>
  <c r="G11" i="2" s="1"/>
  <c r="D12" i="2"/>
  <c r="E12" i="2"/>
  <c r="I441" i="1"/>
  <c r="D13" i="2"/>
  <c r="E13" i="2"/>
  <c r="I442" i="1"/>
  <c r="J14" i="1" s="1"/>
  <c r="G13" i="2" s="1"/>
  <c r="D15" i="2"/>
  <c r="E15" i="2"/>
  <c r="D16" i="2"/>
  <c r="E16" i="2"/>
  <c r="I443" i="1"/>
  <c r="J17" i="1"/>
  <c r="G16" i="2" s="1"/>
  <c r="D17" i="2"/>
  <c r="E17" i="2"/>
  <c r="I444" i="1"/>
  <c r="J18" i="1" s="1"/>
  <c r="G17" i="2" s="1"/>
  <c r="C21" i="2"/>
  <c r="D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C25" i="2"/>
  <c r="C26" i="2"/>
  <c r="C27" i="2"/>
  <c r="C29" i="2"/>
  <c r="C30" i="2"/>
  <c r="D24" i="2"/>
  <c r="E24" i="2"/>
  <c r="F24" i="2"/>
  <c r="F25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I450" i="1"/>
  <c r="J31" i="1"/>
  <c r="G30" i="2" s="1"/>
  <c r="C34" i="2"/>
  <c r="D34" i="2"/>
  <c r="D35" i="2"/>
  <c r="D31" i="2"/>
  <c r="E34" i="2"/>
  <c r="F34" i="2"/>
  <c r="C35" i="2"/>
  <c r="E35" i="2"/>
  <c r="F35" i="2"/>
  <c r="I453" i="1"/>
  <c r="I455" i="1"/>
  <c r="J43" i="1" s="1"/>
  <c r="G42" i="2" s="1"/>
  <c r="I456" i="1"/>
  <c r="J37" i="1"/>
  <c r="J47" i="1"/>
  <c r="G46" i="2" s="1"/>
  <c r="D58" i="2"/>
  <c r="D59" i="2"/>
  <c r="D60" i="2"/>
  <c r="E55" i="2"/>
  <c r="F58" i="2"/>
  <c r="F60" i="2"/>
  <c r="F61" i="2"/>
  <c r="F71" i="2"/>
  <c r="F72" i="2"/>
  <c r="F75" i="2"/>
  <c r="F76" i="2"/>
  <c r="F68" i="2"/>
  <c r="F69" i="2" s="1"/>
  <c r="F84" i="2"/>
  <c r="F86" i="2"/>
  <c r="F87" i="2"/>
  <c r="F88" i="2"/>
  <c r="F90" i="2"/>
  <c r="F92" i="2"/>
  <c r="F93" i="2"/>
  <c r="F95" i="2"/>
  <c r="F96" i="2"/>
  <c r="F98" i="2"/>
  <c r="F99" i="2"/>
  <c r="F100" i="2"/>
  <c r="F101" i="2"/>
  <c r="C56" i="2"/>
  <c r="C58" i="2"/>
  <c r="C60" i="2"/>
  <c r="C61" i="2"/>
  <c r="C62" i="2" s="1"/>
  <c r="E58" i="2"/>
  <c r="E60" i="2"/>
  <c r="C65" i="2"/>
  <c r="C66" i="2"/>
  <c r="C68" i="2"/>
  <c r="D68" i="2"/>
  <c r="D69" i="2" s="1"/>
  <c r="E68" i="2"/>
  <c r="E69" i="2" s="1"/>
  <c r="G68" i="2"/>
  <c r="G69" i="2" s="1"/>
  <c r="C71" i="2"/>
  <c r="C72" i="2"/>
  <c r="C73" i="2"/>
  <c r="C74" i="2"/>
  <c r="C75" i="2"/>
  <c r="E75" i="2"/>
  <c r="C76" i="2"/>
  <c r="D76" i="2"/>
  <c r="D77" i="2"/>
  <c r="D78" i="2"/>
  <c r="E76" i="2"/>
  <c r="G76" i="2"/>
  <c r="G77" i="2" s="1"/>
  <c r="G80" i="2" s="1"/>
  <c r="C78" i="2"/>
  <c r="E78" i="2"/>
  <c r="C79" i="2"/>
  <c r="E79" i="2"/>
  <c r="C84" i="2"/>
  <c r="E84" i="2"/>
  <c r="C86" i="2"/>
  <c r="C87" i="2"/>
  <c r="C90" i="2" s="1"/>
  <c r="D87" i="2"/>
  <c r="C88" i="2"/>
  <c r="D88" i="2"/>
  <c r="E88" i="2"/>
  <c r="C89" i="2"/>
  <c r="C92" i="2"/>
  <c r="C93" i="2"/>
  <c r="D95" i="2"/>
  <c r="D102" i="2" s="1"/>
  <c r="E95" i="2"/>
  <c r="G95" i="2"/>
  <c r="G96" i="2"/>
  <c r="G97" i="2"/>
  <c r="C96" i="2"/>
  <c r="D96" i="2"/>
  <c r="E96" i="2"/>
  <c r="C97" i="2"/>
  <c r="D97" i="2"/>
  <c r="D98" i="2"/>
  <c r="D99" i="2"/>
  <c r="D100" i="2"/>
  <c r="D101" i="2"/>
  <c r="E97" i="2"/>
  <c r="C98" i="2"/>
  <c r="E98" i="2"/>
  <c r="C99" i="2"/>
  <c r="E99" i="2"/>
  <c r="C100" i="2"/>
  <c r="E100" i="2"/>
  <c r="C101" i="2"/>
  <c r="E101" i="2"/>
  <c r="C113" i="2"/>
  <c r="E110" i="2"/>
  <c r="D114" i="2"/>
  <c r="F114" i="2"/>
  <c r="G114" i="2"/>
  <c r="E119" i="2"/>
  <c r="C121" i="2"/>
  <c r="E121" i="2"/>
  <c r="E123" i="2"/>
  <c r="F127" i="2"/>
  <c r="G127" i="2"/>
  <c r="E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L263" i="1"/>
  <c r="C135" i="2" s="1"/>
  <c r="L264" i="1"/>
  <c r="C136" i="2" s="1"/>
  <c r="C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C158" i="2"/>
  <c r="D158" i="2"/>
  <c r="E158" i="2"/>
  <c r="F158" i="2"/>
  <c r="B159" i="2"/>
  <c r="C159" i="2"/>
  <c r="D159" i="2"/>
  <c r="E159" i="2"/>
  <c r="F159" i="2"/>
  <c r="G499" i="1"/>
  <c r="C160" i="2"/>
  <c r="H499" i="1"/>
  <c r="D160" i="2" s="1"/>
  <c r="I499" i="1"/>
  <c r="E160" i="2" s="1"/>
  <c r="J499" i="1"/>
  <c r="F160" i="2" s="1"/>
  <c r="C161" i="2"/>
  <c r="D161" i="2"/>
  <c r="E161" i="2"/>
  <c r="F161" i="2"/>
  <c r="B162" i="2"/>
  <c r="C162" i="2"/>
  <c r="D162" i="2"/>
  <c r="E162" i="2"/>
  <c r="F162" i="2"/>
  <c r="E163" i="2"/>
  <c r="G502" i="1"/>
  <c r="C163" i="2" s="1"/>
  <c r="H502" i="1"/>
  <c r="D163" i="2" s="1"/>
  <c r="I502" i="1"/>
  <c r="J502" i="1"/>
  <c r="F163" i="2" s="1"/>
  <c r="F19" i="1"/>
  <c r="G19" i="1"/>
  <c r="G617" i="1" s="1"/>
  <c r="H19" i="1"/>
  <c r="G618" i="1" s="1"/>
  <c r="I19" i="1"/>
  <c r="G619" i="1" s="1"/>
  <c r="G32" i="1"/>
  <c r="I32" i="1"/>
  <c r="I50" i="1"/>
  <c r="F176" i="1"/>
  <c r="I176" i="1"/>
  <c r="F182" i="1"/>
  <c r="H182" i="1"/>
  <c r="I182" i="1"/>
  <c r="J182" i="1"/>
  <c r="J191" i="1"/>
  <c r="F187" i="1"/>
  <c r="G187" i="1"/>
  <c r="H187" i="1"/>
  <c r="I187" i="1"/>
  <c r="G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L336" i="1" s="1"/>
  <c r="K336" i="1"/>
  <c r="F361" i="1"/>
  <c r="G361" i="1"/>
  <c r="H361" i="1"/>
  <c r="J361" i="1"/>
  <c r="K361" i="1"/>
  <c r="G368" i="1"/>
  <c r="H368" i="1"/>
  <c r="L380" i="1"/>
  <c r="L381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/>
  <c r="L412" i="1"/>
  <c r="L413" i="1"/>
  <c r="L414" i="1"/>
  <c r="L415" i="1"/>
  <c r="L416" i="1"/>
  <c r="L417" i="1"/>
  <c r="F418" i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F451" i="1"/>
  <c r="G451" i="1"/>
  <c r="H451" i="1"/>
  <c r="I451" i="1"/>
  <c r="F459" i="1"/>
  <c r="G459" i="1"/>
  <c r="H459" i="1"/>
  <c r="F460" i="1"/>
  <c r="G460" i="1"/>
  <c r="H460" i="1"/>
  <c r="H640" i="1" s="1"/>
  <c r="I469" i="1"/>
  <c r="J473" i="1"/>
  <c r="K494" i="1"/>
  <c r="K495" i="1"/>
  <c r="K496" i="1"/>
  <c r="K498" i="1"/>
  <c r="K501" i="1"/>
  <c r="F516" i="1"/>
  <c r="G516" i="1"/>
  <c r="H516" i="1"/>
  <c r="I516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K570" i="1" s="1"/>
  <c r="L561" i="1"/>
  <c r="L562" i="1"/>
  <c r="L564" i="1" s="1"/>
  <c r="L563" i="1"/>
  <c r="F564" i="1"/>
  <c r="G564" i="1"/>
  <c r="H564" i="1"/>
  <c r="I564" i="1"/>
  <c r="J564" i="1"/>
  <c r="J570" i="1" s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4" i="1"/>
  <c r="K595" i="1"/>
  <c r="K596" i="1"/>
  <c r="I597" i="1"/>
  <c r="H649" i="1" s="1"/>
  <c r="J597" i="1"/>
  <c r="H650" i="1"/>
  <c r="K601" i="1"/>
  <c r="K602" i="1"/>
  <c r="I604" i="1"/>
  <c r="J604" i="1"/>
  <c r="F613" i="1"/>
  <c r="G613" i="1"/>
  <c r="H613" i="1"/>
  <c r="I613" i="1"/>
  <c r="J613" i="1"/>
  <c r="K613" i="1"/>
  <c r="L613" i="1"/>
  <c r="G616" i="1"/>
  <c r="H629" i="1"/>
  <c r="H637" i="1"/>
  <c r="H638" i="1"/>
  <c r="J638" i="1" s="1"/>
  <c r="G639" i="1"/>
  <c r="H639" i="1"/>
  <c r="G642" i="1"/>
  <c r="J642" i="1"/>
  <c r="H642" i="1"/>
  <c r="G643" i="1"/>
  <c r="J643" i="1" s="1"/>
  <c r="G644" i="1"/>
  <c r="H644" i="1"/>
  <c r="G650" i="1"/>
  <c r="G651" i="1"/>
  <c r="H651" i="1"/>
  <c r="J651" i="1"/>
  <c r="G652" i="1"/>
  <c r="H652" i="1"/>
  <c r="J652" i="1" s="1"/>
  <c r="G653" i="1"/>
  <c r="H653" i="1"/>
  <c r="H654" i="1"/>
  <c r="F191" i="1"/>
  <c r="L327" i="1"/>
  <c r="A31" i="12"/>
  <c r="D18" i="13"/>
  <c r="C18" i="13" s="1"/>
  <c r="D7" i="13"/>
  <c r="C7" i="13" s="1"/>
  <c r="C102" i="2"/>
  <c r="E13" i="13"/>
  <c r="C13" i="13"/>
  <c r="I168" i="1"/>
  <c r="G22" i="2"/>
  <c r="L400" i="1"/>
  <c r="C138" i="2" s="1"/>
  <c r="H191" i="1"/>
  <c r="E16" i="13"/>
  <c r="C16" i="13" s="1"/>
  <c r="J654" i="1"/>
  <c r="G36" i="2"/>
  <c r="G21" i="2"/>
  <c r="L275" i="1"/>
  <c r="H111" i="1"/>
  <c r="E61" i="2"/>
  <c r="E62" i="2" s="1"/>
  <c r="E77" i="2"/>
  <c r="E80" i="2" s="1"/>
  <c r="G256" i="1"/>
  <c r="G270" i="1" s="1"/>
  <c r="D84" i="2"/>
  <c r="D90" i="2"/>
  <c r="G157" i="2"/>
  <c r="E142" i="2"/>
  <c r="J644" i="1"/>
  <c r="F433" i="1"/>
  <c r="E102" i="2"/>
  <c r="G55" i="2"/>
  <c r="C35" i="10"/>
  <c r="J111" i="1"/>
  <c r="H551" i="1"/>
  <c r="J32" i="1"/>
  <c r="L255" i="1"/>
  <c r="G159" i="2"/>
  <c r="G8" i="2"/>
  <c r="F129" i="2"/>
  <c r="F143" i="2" s="1"/>
  <c r="F144" i="2" s="1"/>
  <c r="G191" i="1"/>
  <c r="G624" i="1"/>
  <c r="C77" i="2"/>
  <c r="C69" i="2"/>
  <c r="C10" i="10"/>
  <c r="L521" i="1"/>
  <c r="F549" i="1" s="1"/>
  <c r="K549" i="1" s="1"/>
  <c r="E87" i="2"/>
  <c r="D18" i="2"/>
  <c r="I471" i="1" l="1"/>
  <c r="I473" i="1" s="1"/>
  <c r="G635" i="1"/>
  <c r="L569" i="1"/>
  <c r="I570" i="1"/>
  <c r="L559" i="1"/>
  <c r="L570" i="1" s="1"/>
  <c r="I407" i="1"/>
  <c r="F337" i="1"/>
  <c r="F351" i="1" s="1"/>
  <c r="K256" i="1"/>
  <c r="K270" i="1" s="1"/>
  <c r="G102" i="2"/>
  <c r="F102" i="2"/>
  <c r="F77" i="2"/>
  <c r="F80" i="2" s="1"/>
  <c r="D61" i="2"/>
  <c r="C112" i="2"/>
  <c r="C23" i="10"/>
  <c r="L392" i="1"/>
  <c r="F22" i="13"/>
  <c r="C129" i="2"/>
  <c r="L308" i="1"/>
  <c r="E109" i="2"/>
  <c r="E124" i="2"/>
  <c r="E122" i="2"/>
  <c r="E120" i="2"/>
  <c r="L228" i="1"/>
  <c r="C108" i="2"/>
  <c r="C28" i="2"/>
  <c r="F32" i="1"/>
  <c r="B9" i="12"/>
  <c r="A13" i="12" s="1"/>
  <c r="F210" i="1"/>
  <c r="F256" i="1" s="1"/>
  <c r="F270" i="1" s="1"/>
  <c r="F5" i="13"/>
  <c r="J210" i="1"/>
  <c r="J256" i="1" s="1"/>
  <c r="H522" i="1"/>
  <c r="L233" i="1"/>
  <c r="L246" i="1" s="1"/>
  <c r="H659" i="1" s="1"/>
  <c r="H246" i="1"/>
  <c r="H256" i="1" s="1"/>
  <c r="H270" i="1" s="1"/>
  <c r="F520" i="1"/>
  <c r="F523" i="1" s="1"/>
  <c r="L197" i="1"/>
  <c r="B18" i="12"/>
  <c r="A22" i="12" s="1"/>
  <c r="L199" i="1"/>
  <c r="B36" i="12"/>
  <c r="C15" i="10"/>
  <c r="C117" i="2"/>
  <c r="C17" i="10"/>
  <c r="E8" i="13"/>
  <c r="C20" i="10"/>
  <c r="C122" i="2"/>
  <c r="D14" i="13"/>
  <c r="C14" i="13" s="1"/>
  <c r="E46" i="2"/>
  <c r="E49" i="2" s="1"/>
  <c r="E50" i="2" s="1"/>
  <c r="H50" i="1"/>
  <c r="B158" i="2"/>
  <c r="F499" i="1"/>
  <c r="K497" i="1"/>
  <c r="B161" i="2"/>
  <c r="G161" i="2" s="1"/>
  <c r="F502" i="1"/>
  <c r="K500" i="1"/>
  <c r="L357" i="1"/>
  <c r="I361" i="1"/>
  <c r="G633" i="1" s="1"/>
  <c r="E108" i="2"/>
  <c r="E114" i="2" s="1"/>
  <c r="C80" i="2"/>
  <c r="C103" i="2" s="1"/>
  <c r="C24" i="10"/>
  <c r="C29" i="10"/>
  <c r="H25" i="13"/>
  <c r="F111" i="1"/>
  <c r="D6" i="13"/>
  <c r="C6" i="13" s="1"/>
  <c r="D12" i="13"/>
  <c r="C12" i="13" s="1"/>
  <c r="L350" i="1"/>
  <c r="G649" i="1"/>
  <c r="J649" i="1"/>
  <c r="L432" i="1"/>
  <c r="I433" i="1"/>
  <c r="L426" i="1"/>
  <c r="J433" i="1"/>
  <c r="I210" i="1"/>
  <c r="I256" i="1" s="1"/>
  <c r="I270" i="1" s="1"/>
  <c r="G156" i="2"/>
  <c r="C120" i="2"/>
  <c r="C119" i="2"/>
  <c r="J48" i="1"/>
  <c r="I459" i="1"/>
  <c r="I460" i="1" s="1"/>
  <c r="H641" i="1" s="1"/>
  <c r="F31" i="2"/>
  <c r="F50" i="2" s="1"/>
  <c r="J13" i="1"/>
  <c r="I445" i="1"/>
  <c r="G641" i="1" s="1"/>
  <c r="J548" i="1"/>
  <c r="J551" i="1" s="1"/>
  <c r="L543" i="1"/>
  <c r="I551" i="1"/>
  <c r="G551" i="1"/>
  <c r="C32" i="10"/>
  <c r="G31" i="2"/>
  <c r="J653" i="1"/>
  <c r="J650" i="1"/>
  <c r="J639" i="1"/>
  <c r="H570" i="1"/>
  <c r="F570" i="1"/>
  <c r="F544" i="1"/>
  <c r="I544" i="1"/>
  <c r="G433" i="1"/>
  <c r="L418" i="1"/>
  <c r="I337" i="1"/>
  <c r="I351" i="1" s="1"/>
  <c r="I51" i="1"/>
  <c r="H619" i="1" s="1"/>
  <c r="J619" i="1" s="1"/>
  <c r="C31" i="2"/>
  <c r="C18" i="2"/>
  <c r="J139" i="1"/>
  <c r="J192" i="1" s="1"/>
  <c r="I111" i="1"/>
  <c r="F55" i="2"/>
  <c r="F62" i="2" s="1"/>
  <c r="F103" i="2" s="1"/>
  <c r="G111" i="1"/>
  <c r="D55" i="2"/>
  <c r="D62" i="2" s="1"/>
  <c r="C110" i="2"/>
  <c r="C124" i="2"/>
  <c r="H590" i="1"/>
  <c r="L207" i="1"/>
  <c r="H161" i="1"/>
  <c r="H168" i="1" s="1"/>
  <c r="E86" i="2"/>
  <c r="E90" i="2" s="1"/>
  <c r="E103" i="2" s="1"/>
  <c r="H289" i="1"/>
  <c r="F31" i="13"/>
  <c r="K523" i="1"/>
  <c r="C48" i="2"/>
  <c r="C49" i="2" s="1"/>
  <c r="C50" i="2" s="1"/>
  <c r="F50" i="1"/>
  <c r="E21" i="2"/>
  <c r="E31" i="2" s="1"/>
  <c r="H32" i="1"/>
  <c r="F368" i="1"/>
  <c r="I366" i="1"/>
  <c r="I368" i="1" s="1"/>
  <c r="H633" i="1" s="1"/>
  <c r="J633" i="1" s="1"/>
  <c r="D39" i="2"/>
  <c r="G50" i="1"/>
  <c r="G162" i="2"/>
  <c r="G158" i="2"/>
  <c r="G155" i="2"/>
  <c r="D80" i="2"/>
  <c r="D49" i="2"/>
  <c r="D50" i="2" s="1"/>
  <c r="C26" i="10"/>
  <c r="F168" i="1"/>
  <c r="C39" i="10" s="1"/>
  <c r="H139" i="1"/>
  <c r="H192" i="1" s="1"/>
  <c r="G139" i="1"/>
  <c r="G61" i="2"/>
  <c r="G62" i="2" s="1"/>
  <c r="G103" i="2" s="1"/>
  <c r="L406" i="1"/>
  <c r="C139" i="2" s="1"/>
  <c r="A40" i="12"/>
  <c r="H520" i="1"/>
  <c r="H523" i="1" s="1"/>
  <c r="H544" i="1" s="1"/>
  <c r="G523" i="1"/>
  <c r="L281" i="1"/>
  <c r="L289" i="1" s="1"/>
  <c r="L337" i="1" s="1"/>
  <c r="L351" i="1" s="1"/>
  <c r="J641" i="1"/>
  <c r="L433" i="1"/>
  <c r="G637" i="1" s="1"/>
  <c r="J637" i="1" s="1"/>
  <c r="I475" i="1"/>
  <c r="H624" i="1" s="1"/>
  <c r="J624" i="1" s="1"/>
  <c r="J640" i="1"/>
  <c r="G337" i="1"/>
  <c r="G351" i="1" s="1"/>
  <c r="C38" i="10"/>
  <c r="L520" i="1"/>
  <c r="H337" i="1"/>
  <c r="H351" i="1" s="1"/>
  <c r="K544" i="1"/>
  <c r="H635" i="1"/>
  <c r="J635" i="1" s="1"/>
  <c r="H603" i="1"/>
  <c r="I191" i="1"/>
  <c r="I192" i="1" s="1"/>
  <c r="G629" i="1" s="1"/>
  <c r="J629" i="1" s="1"/>
  <c r="J544" i="1"/>
  <c r="G544" i="1"/>
  <c r="L522" i="1"/>
  <c r="F550" i="1" s="1"/>
  <c r="K550" i="1" s="1"/>
  <c r="K289" i="1"/>
  <c r="H471" i="1" l="1"/>
  <c r="G632" i="1"/>
  <c r="G645" i="1"/>
  <c r="G630" i="1"/>
  <c r="H467" i="1"/>
  <c r="G628" i="1"/>
  <c r="G622" i="1"/>
  <c r="G51" i="1"/>
  <c r="H617" i="1" s="1"/>
  <c r="J617" i="1" s="1"/>
  <c r="F51" i="1"/>
  <c r="H616" i="1" s="1"/>
  <c r="J616" i="1" s="1"/>
  <c r="G621" i="1"/>
  <c r="K590" i="1"/>
  <c r="K597" i="1" s="1"/>
  <c r="G646" i="1" s="1"/>
  <c r="H597" i="1"/>
  <c r="H648" i="1" s="1"/>
  <c r="G192" i="1"/>
  <c r="G12" i="2"/>
  <c r="G18" i="2" s="1"/>
  <c r="J19" i="1"/>
  <c r="G620" i="1" s="1"/>
  <c r="F192" i="1"/>
  <c r="D29" i="13"/>
  <c r="C29" i="13" s="1"/>
  <c r="L361" i="1"/>
  <c r="D126" i="2"/>
  <c r="D127" i="2" s="1"/>
  <c r="D144" i="2" s="1"/>
  <c r="F660" i="1"/>
  <c r="G660" i="1"/>
  <c r="B163" i="2"/>
  <c r="G163" i="2" s="1"/>
  <c r="K502" i="1"/>
  <c r="C8" i="13"/>
  <c r="E33" i="13"/>
  <c r="D35" i="13" s="1"/>
  <c r="J270" i="1"/>
  <c r="H647" i="1"/>
  <c r="F33" i="13"/>
  <c r="C22" i="13"/>
  <c r="C36" i="10"/>
  <c r="E118" i="2"/>
  <c r="E127" i="2" s="1"/>
  <c r="E144" i="2" s="1"/>
  <c r="C16" i="10"/>
  <c r="C21" i="10"/>
  <c r="F661" i="1"/>
  <c r="I661" i="1" s="1"/>
  <c r="G648" i="1"/>
  <c r="J648" i="1" s="1"/>
  <c r="H646" i="1"/>
  <c r="D15" i="13"/>
  <c r="C15" i="13" s="1"/>
  <c r="C123" i="2"/>
  <c r="C127" i="2" s="1"/>
  <c r="D103" i="2"/>
  <c r="G47" i="2"/>
  <c r="G49" i="2" s="1"/>
  <c r="G50" i="2" s="1"/>
  <c r="J50" i="1"/>
  <c r="H33" i="13"/>
  <c r="C25" i="13"/>
  <c r="B160" i="2"/>
  <c r="G160" i="2" s="1"/>
  <c r="K499" i="1"/>
  <c r="H51" i="1"/>
  <c r="H618" i="1" s="1"/>
  <c r="J618" i="1" s="1"/>
  <c r="G623" i="1"/>
  <c r="C13" i="10"/>
  <c r="C111" i="2"/>
  <c r="C11" i="10"/>
  <c r="C109" i="2"/>
  <c r="C114" i="2" s="1"/>
  <c r="L210" i="1"/>
  <c r="D5" i="13"/>
  <c r="C5" i="13" s="1"/>
  <c r="G659" i="1"/>
  <c r="C137" i="2"/>
  <c r="C140" i="2" s="1"/>
  <c r="C143" i="2" s="1"/>
  <c r="L407" i="1"/>
  <c r="H660" i="1"/>
  <c r="H663" i="1" s="1"/>
  <c r="G31" i="13"/>
  <c r="K337" i="1"/>
  <c r="K351" i="1" s="1"/>
  <c r="K603" i="1"/>
  <c r="K604" i="1" s="1"/>
  <c r="G647" i="1" s="1"/>
  <c r="J647" i="1" s="1"/>
  <c r="F662" i="1"/>
  <c r="I662" i="1" s="1"/>
  <c r="H604" i="1"/>
  <c r="F548" i="1"/>
  <c r="L523" i="1"/>
  <c r="L544" i="1" s="1"/>
  <c r="C41" i="10"/>
  <c r="D38" i="10"/>
  <c r="H666" i="1" l="1"/>
  <c r="H671" i="1"/>
  <c r="G636" i="1"/>
  <c r="H645" i="1"/>
  <c r="J467" i="1"/>
  <c r="L256" i="1"/>
  <c r="L270" i="1" s="1"/>
  <c r="F659" i="1"/>
  <c r="I660" i="1"/>
  <c r="C27" i="10"/>
  <c r="G471" i="1"/>
  <c r="G634" i="1"/>
  <c r="G627" i="1"/>
  <c r="G467" i="1"/>
  <c r="J646" i="1"/>
  <c r="H469" i="1"/>
  <c r="H628" i="1"/>
  <c r="J628" i="1" s="1"/>
  <c r="J645" i="1"/>
  <c r="H632" i="1"/>
  <c r="J632" i="1" s="1"/>
  <c r="H473" i="1"/>
  <c r="C144" i="2"/>
  <c r="G625" i="1"/>
  <c r="J51" i="1"/>
  <c r="H620" i="1" s="1"/>
  <c r="J620" i="1" s="1"/>
  <c r="G663" i="1"/>
  <c r="G626" i="1"/>
  <c r="F467" i="1"/>
  <c r="D36" i="10"/>
  <c r="D37" i="10"/>
  <c r="D40" i="10"/>
  <c r="D35" i="10"/>
  <c r="D39" i="10"/>
  <c r="K548" i="1"/>
  <c r="K551" i="1" s="1"/>
  <c r="F551" i="1"/>
  <c r="G33" i="13"/>
  <c r="D31" i="13"/>
  <c r="F469" i="1" l="1"/>
  <c r="H626" i="1"/>
  <c r="G666" i="1"/>
  <c r="G671" i="1"/>
  <c r="C28" i="10"/>
  <c r="D27" i="10" s="1"/>
  <c r="G631" i="1"/>
  <c r="F471" i="1"/>
  <c r="D41" i="10"/>
  <c r="J626" i="1"/>
  <c r="H475" i="1"/>
  <c r="H623" i="1" s="1"/>
  <c r="J623" i="1" s="1"/>
  <c r="H627" i="1"/>
  <c r="J627" i="1" s="1"/>
  <c r="G469" i="1"/>
  <c r="H634" i="1"/>
  <c r="J634" i="1" s="1"/>
  <c r="G473" i="1"/>
  <c r="I659" i="1"/>
  <c r="I663" i="1" s="1"/>
  <c r="F663" i="1"/>
  <c r="H636" i="1"/>
  <c r="J636" i="1" s="1"/>
  <c r="J469" i="1"/>
  <c r="J475" i="1" s="1"/>
  <c r="H625" i="1" s="1"/>
  <c r="J625" i="1" s="1"/>
  <c r="H630" i="1"/>
  <c r="J630" i="1" s="1"/>
  <c r="C31" i="13"/>
  <c r="D33" i="13"/>
  <c r="D36" i="13" s="1"/>
  <c r="I671" i="1" l="1"/>
  <c r="C7" i="10" s="1"/>
  <c r="I666" i="1"/>
  <c r="H631" i="1"/>
  <c r="J631" i="1" s="1"/>
  <c r="F473" i="1"/>
  <c r="F671" i="1"/>
  <c r="C4" i="10" s="1"/>
  <c r="F666" i="1"/>
  <c r="G475" i="1"/>
  <c r="H622" i="1" s="1"/>
  <c r="J622" i="1" s="1"/>
  <c r="D17" i="10"/>
  <c r="D20" i="10"/>
  <c r="D19" i="10"/>
  <c r="D15" i="10"/>
  <c r="D18" i="10"/>
  <c r="D25" i="10"/>
  <c r="D22" i="10"/>
  <c r="D12" i="10"/>
  <c r="D26" i="10"/>
  <c r="D23" i="10"/>
  <c r="D10" i="10"/>
  <c r="D24" i="10"/>
  <c r="C30" i="10"/>
  <c r="D13" i="10"/>
  <c r="D21" i="10"/>
  <c r="D11" i="10"/>
  <c r="D16" i="10"/>
  <c r="F475" i="1"/>
  <c r="H621" i="1" s="1"/>
  <c r="J621" i="1" s="1"/>
  <c r="D28" i="10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<sst xmlns="http://schemas.openxmlformats.org/spreadsheetml/2006/main" count="3945" uniqueCount="912">
  <si>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</si>
  <si>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</si>
  <si>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</si>
  <si>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</si>
  <si>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</si>
  <si>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</si>
  <si>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</si>
  <si>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</si>
  <si>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</si>
  <si>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</si>
  <si>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</si>
  <si>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</si>
  <si>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</si>
  <si>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</si>
  <si>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</si>
  <si>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</si>
  <si>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</si>
  <si>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</si>
  <si>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</si>
  <si>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</si>
  <si>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</si>
  <si>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</si>
  <si>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</si>
  <si>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</si>
  <si>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</si>
  <si>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</si>
  <si>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</si>
  <si>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</si>
  <si>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</si>
  <si>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</si>
  <si>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</si>
  <si>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</si>
  <si>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</si>
  <si>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</si>
  <si>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</si>
  <si>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</si>
  <si>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</si>
  <si>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</si>
  <si>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</si>
  <si>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</si>
  <si>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</si>
  <si>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</si>
  <si>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</si>
  <si>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</si>
  <si>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</si>
  <si>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</si>
  <si>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</si>
  <si>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</si>
  <si>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</si>
  <si>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</si>
  <si>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</si>
  <si>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</si>
  <si>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</si>
  <si>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</si>
  <si>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</si>
  <si>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</si>
  <si>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</si>
  <si>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</si>
  <si>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</si>
  <si>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</si>
  <si>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</si>
  <si>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</si>
  <si>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</si>
  <si>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</si>
  <si>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</si>
  <si>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</si>
  <si>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</si>
  <si>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</si>
  <si>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</si>
  <si>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</si>
  <si>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</si>
  <si>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</si>
  <si>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</si>
  <si>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</si>
  <si>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</si>
  <si>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</si>
  <si>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</si>
  <si>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</si>
  <si>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</si>
  <si>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</si>
  <si>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</si>
  <si>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</si>
  <si>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</si>
  <si>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</si>
  <si>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</si>
  <si>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</si>
  <si>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</si>
  <si>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</si>
  <si>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</si>
  <si>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</si>
  <si>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</si>
  <si>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</si>
  <si>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</si>
  <si>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</si>
  <si>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</si>
  <si>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</si>
  <si>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</si>
  <si>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</si>
  <si>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</si>
  <si>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</si>
  <si>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</si>
  <si>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</si>
  <si>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</si>
  <si>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</si>
  <si>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</si>
  <si>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</si>
  <si>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</si>
  <si>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</si>
  <si>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</si>
  <si>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</si>
  <si>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</si>
  <si>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</si>
  <si>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</si>
  <si>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</si>
  <si>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</si>
  <si>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</si>
  <si>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</si>
  <si>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</si>
  <si>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</si>
  <si>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</si>
  <si>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</si>
  <si>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</si>
  <si>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</si>
  <si>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</si>
  <si>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</si>
  <si>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</si>
  <si>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</si>
  <si>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</si>
  <si>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</si>
  <si>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</si>
  <si>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</si>
  <si>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</si>
  <si>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</si>
  <si>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</si>
  <si>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</si>
  <si>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</si>
  <si>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</si>
  <si>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</si>
  <si>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</si>
  <si>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</si>
  <si>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</si>
  <si>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</si>
  <si>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</si>
  <si>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</si>
  <si>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</si>
  <si>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</si>
  <si>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</si>
  <si>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</si>
  <si>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</si>
  <si>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</si>
  <si>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</si>
  <si>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</si>
  <si>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</si>
  <si>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</si>
  <si>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</si>
  <si>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</si>
  <si>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</si>
  <si>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</si>
  <si>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</si>
  <si>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</si>
  <si>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</si>
  <si>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</si>
  <si>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</si>
  <si>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</si>
  <si>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</si>
  <si>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</si>
  <si>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</si>
  <si>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</si>
  <si>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</si>
  <si>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</si>
  <si>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</si>
  <si>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</si>
  <si>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</si>
  <si>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</si>
  <si>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</si>
  <si>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</si>
  <si>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</si>
  <si>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</si>
  <si>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</si>
  <si>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</si>
  <si>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</si>
  <si>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</si>
  <si>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</si>
  <si>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</si>
  <si>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</si>
  <si>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</si>
  <si>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</si>
  <si>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</si>
  <si>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</si>
  <si>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</si>
  <si>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</si>
  <si>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</si>
  <si>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</si>
  <si>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</si>
  <si>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</si>
  <si>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</si>
  <si>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</si>
  <si>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</si>
  <si>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</si>
  <si>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</si>
  <si>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</si>
  <si>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</si>
  <si>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</si>
  <si>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</si>
  <si>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</si>
  <si>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</si>
  <si>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</si>
  <si>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</si>
  <si>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</si>
  <si>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</si>
  <si>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</si>
  <si>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</si>
  <si>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</si>
  <si>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</si>
  <si>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</si>
  <si>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</si>
  <si>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</si>
  <si>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</si>
  <si>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</si>
  <si>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</si>
  <si>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</si>
  <si>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</si>
  <si>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</si>
  <si>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</si>
  <si>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</si>
  <si>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</si>
  <si>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</si>
  <si>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</si>
  <si>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</si>
  <si>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</si>
  <si>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</si>
  <si>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</si>
  <si>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</si>
  <si>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</si>
  <si>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</si>
  <si>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</si>
  <si>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</si>
  <si>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</si>
  <si>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</si>
  <si>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</si>
  <si>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</si>
  <si>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</si>
  <si>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</si>
  <si>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</si>
  <si>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</si>
  <si>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</si>
  <si>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</si>
  <si>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</si>
  <si>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</si>
  <si>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</si>
  <si>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</si>
  <si>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</si>
  <si>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</si>
  <si>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</si>
  <si>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</si>
  <si>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</si>
  <si>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</si>
  <si>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</si>
  <si>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</si>
  <si>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</si>
  <si>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</si>
  <si>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</si>
  <si>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</si>
  <si>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</si>
  <si>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</si>
  <si>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</si>
  <si>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</si>
  <si>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</si>
  <si>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</si>
  <si>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</si>
  <si>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</si>
  <si>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</si>
  <si>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</si>
  <si>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</si>
  <si>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</si>
  <si>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</si>
  <si>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</si>
  <si>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</si>
  <si>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</si>
  <si>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</si>
  <si>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</si>
  <si>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</si>
  <si>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</si>
  <si>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</si>
  <si>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</si>
  <si>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</si>
  <si>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</si>
  <si>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</si>
  <si>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</si>
  <si>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</si>
  <si>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</si>
  <si>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</si>
  <si>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</si>
  <si>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</si>
  <si>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</si>
  <si>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</si>
  <si>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</si>
  <si>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</si>
  <si>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</si>
  <si>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</si>
  <si>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</si>
  <si>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</si>
  <si>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</si>
  <si>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</si>
  <si>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</si>
  <si>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</si>
  <si>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</si>
  <si>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</si>
  <si>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</si>
  <si>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</si>
  <si>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</si>
  <si>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</si>
  <si>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</si>
  <si>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</si>
  <si>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</si>
  <si>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</si>
  <si>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</si>
  <si>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</si>
  <si>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</si>
  <si>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</si>
  <si>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</si>
  <si>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</si>
  <si>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</si>
  <si>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</si>
  <si>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</si>
  <si>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</si>
  <si>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</si>
  <si>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</si>
  <si>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</si>
  <si>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</si>
  <si>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</si>
  <si>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</si>
  <si>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</si>
  <si>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</si>
  <si>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</si>
  <si>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</si>
  <si>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</si>
  <si>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</si>
  <si>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</si>
  <si>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</si>
  <si>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</si>
  <si>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</si>
  <si>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</si>
  <si>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</si>
  <si>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</si>
  <si>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</si>
  <si>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</si>
  <si>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</si>
  <si>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</si>
  <si>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</si>
  <si>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</si>
  <si>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</si>
  <si>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</si>
  <si>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</si>
  <si>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</si>
  <si>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</si>
  <si>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</si>
  <si>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</si>
  <si>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</si>
  <si>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</si>
  <si>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</si>
  <si>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</si>
  <si>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</si>
  <si>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</si>
  <si>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</si>
  <si>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</si>
  <si>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</si>
  <si>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</si>
  <si>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</si>
  <si>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</si>
  <si>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</si>
  <si>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</si>
  <si>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</si>
  <si>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</si>
  <si>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</si>
  <si>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</si>
  <si>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</si>
  <si>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</si>
  <si>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</si>
  <si>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</si>
  <si>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</si>
  <si>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</si>
  <si>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</si>
  <si>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</si>
  <si>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</si>
  <si>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</si>
  <si>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</si>
  <si>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</si>
  <si>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</si>
  <si>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</si>
  <si>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</si>
  <si>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</si>
  <si>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</si>
  <si>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</si>
  <si>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</si>
  <si>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</si>
  <si>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</si>
  <si>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</si>
  <si>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</si>
  <si>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</si>
  <si>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</si>
  <si>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</si>
  <si>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</si>
  <si>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</si>
  <si>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</si>
  <si>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</si>
  <si>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</si>
  <si>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</si>
  <si>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</si>
  <si>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</si>
  <si>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</si>
  <si>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</si>
  <si>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</si>
  <si>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</si>
  <si>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</si>
  <si>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</si>
  <si>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</si>
  <si>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</si>
  <si>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</si>
  <si>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</si>
  <si>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</si>
  <si>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</si>
  <si>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</si>
  <si>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</si>
  <si>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</si>
  <si>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</si>
  <si>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</si>
  <si>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</si>
  <si>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</si>
  <si>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</si>
  <si>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</si>
  <si>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</si>
  <si>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</si>
  <si>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</si>
  <si>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</si>
  <si>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</si>
  <si>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</si>
  <si>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</si>
  <si>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</si>
  <si>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</si>
  <si>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</si>
  <si>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</si>
  <si>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</si>
  <si>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</si>
  <si>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</si>
  <si>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</si>
  <si>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</si>
  <si>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</si>
  <si>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</si>
  <si>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</si>
  <si>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</si>
  <si>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</si>
  <si>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</si>
  <si>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</si>
  <si>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</si>
  <si>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</si>
  <si>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</si>
  <si>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</si>
  <si>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</si>
  <si>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</si>
  <si>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</si>
  <si>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</si>
  <si>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</si>
  <si>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</si>
  <si>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</si>
  <si>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</si>
  <si>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</si>
  <si>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</si>
  <si>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</si>
  <si>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</si>
  <si>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</si>
  <si>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</si>
  <si>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</si>
  <si>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</si>
  <si>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</si>
  <si>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</si>
  <si>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</si>
  <si>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</si>
  <si>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</si>
  <si>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</si>
  <si>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</si>
  <si>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</si>
  <si>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</si>
  <si>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</si>
  <si>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</si>
  <si>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</si>
  <si>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</si>
  <si>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</si>
  <si>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</si>
  <si>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</si>
  <si>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</si>
  <si>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</si>
  <si>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</si>
  <si>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</si>
  <si>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</si>
  <si>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</si>
  <si>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</si>
  <si>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</si>
  <si>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</si>
  <si>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</si>
  <si>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</si>
  <si>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</si>
  <si>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</si>
  <si>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</si>
  <si>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</si>
  <si>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</si>
  <si>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</si>
  <si>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</si>
  <si>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</si>
  <si>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</si>
  <si>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</si>
  <si>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</si>
  <si>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</si>
  <si>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</si>
  <si>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</si>
  <si>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</si>
  <si>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</si>
  <si>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</si>
  <si>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</si>
  <si>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</si>
  <si>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</si>
  <si>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</si>
  <si>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</si>
  <si>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</si>
  <si>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</si>
  <si>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</si>
  <si>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</si>
  <si>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</si>
  <si>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</si>
  <si>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</si>
  <si>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</si>
  <si>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</si>
  <si>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</si>
  <si>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</si>
  <si>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</si>
  <si>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</si>
  <si>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</si>
  <si>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</si>
  <si>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</si>
  <si>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</si>
  <si>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</si>
  <si>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</si>
  <si>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</si>
  <si>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</si>
  <si>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</si>
  <si>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</si>
  <si>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</si>
  <si>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</si>
  <si>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</si>
  <si>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</si>
  <si>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</si>
  <si>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</si>
  <si>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</si>
  <si>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</si>
  <si>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</si>
  <si>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</si>
  <si>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</si>
  <si>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</si>
  <si>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</si>
  <si>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</si>
  <si>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</si>
  <si>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</si>
  <si>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</si>
  <si>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</si>
  <si>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</si>
  <si>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</si>
  <si>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</si>
  <si>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</si>
  <si>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</si>
  <si>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</si>
  <si>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</si>
  <si>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</si>
  <si>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</si>
  <si>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</si>
  <si>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</si>
  <si>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</si>
  <si>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</si>
  <si>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</si>
  <si>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</si>
  <si>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</si>
  <si>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</si>
  <si>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</si>
  <si>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</si>
  <si>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</si>
  <si>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</si>
  <si>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</si>
  <si>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</si>
  <si>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</si>
  <si>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</si>
  <si>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</si>
  <si>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</si>
  <si>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</si>
  <si>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</si>
  <si>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</si>
  <si>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</si>
  <si>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</si>
  <si>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</si>
  <si>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</si>
  <si>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</si>
  <si>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</si>
  <si>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</si>
  <si>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</si>
  <si>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</si>
  <si>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</si>
  <si>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</si>
  <si>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</si>
  <si>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</si>
  <si>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</si>
  <si>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</si>
  <si>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</si>
  <si>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</si>
  <si>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</si>
  <si>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</si>
  <si>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</si>
  <si>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</si>
  <si>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</si>
  <si>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</si>
  <si>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</si>
  <si>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</si>
  <si>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</si>
  <si>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</si>
  <si>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</si>
  <si>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</si>
  <si>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</si>
  <si>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</si>
  <si>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</si>
  <si>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</si>
  <si>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</si>
  <si>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</si>
  <si>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</si>
  <si>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</si>
  <si>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</si>
  <si>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</si>
  <si>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</si>
  <si>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</si>
  <si>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</si>
  <si>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</si>
  <si>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</si>
  <si>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</si>
  <si>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</si>
  <si>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</si>
  <si>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</si>
  <si>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</si>
  <si>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</si>
  <si>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</si>
  <si>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</si>
  <si>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</si>
  <si>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</si>
  <si>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</si>
  <si>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</si>
  <si>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</si>
  <si>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</si>
  <si>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</si>
  <si>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</si>
  <si>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</si>
  <si>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</si>
  <si>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</si>
  <si>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</si>
  <si>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</si>
  <si>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</si>
  <si>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</si>
  <si>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</si>
  <si>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</si>
  <si>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</si>
  <si>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</si>
  <si>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</si>
  <si>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</si>
  <si>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</si>
  <si>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</si>
  <si>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</si>
  <si>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</si>
  <si>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</si>
  <si>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</si>
  <si>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</si>
  <si>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</si>
  <si>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</si>
  <si>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</si>
  <si>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</si>
  <si>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</si>
  <si>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</si>
  <si>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</si>
  <si>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</si>
  <si>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</si>
  <si>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</si>
  <si>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</si>
  <si>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</si>
  <si>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</si>
  <si>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</si>
  <si>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</si>
  <si>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</si>
  <si>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</si>
  <si>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</si>
  <si>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</si>
  <si>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</si>
  <si>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</si>
  <si>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</si>
  <si>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</si>
  <si>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</si>
  <si>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</si>
  <si>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</si>
  <si>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</si>
  <si>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</si>
  <si>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</si>
  <si>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</si>
  <si>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</si>
  <si>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</si>
  <si>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</si>
  <si>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</si>
  <si>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</si>
  <si>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</si>
  <si>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</si>
  <si>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</si>
  <si>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</si>
  <si>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</si>
  <si>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</si>
  <si>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</si>
  <si>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</si>
  <si>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</si>
  <si>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</si>
  <si>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</si>
  <si>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</si>
  <si>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</si>
  <si>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</si>
  <si>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</si>
  <si>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</si>
  <si>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</si>
  <si>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</si>
  <si>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</si>
  <si>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</si>
  <si>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</si>
  <si>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</si>
  <si>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</si>
  <si>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</si>
  <si>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</si>
  <si>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</si>
  <si>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</si>
  <si>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</si>
  <si>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</si>
  <si>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</si>
  <si>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</si>
  <si>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</si>
  <si>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</si>
  <si>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</si>
  <si>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</si>
  <si>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</si>
  <si>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</si>
  <si>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</si>
  <si>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</si>
  <si>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</si>
  <si>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</si>
  <si>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</si>
  <si>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</si>
  <si>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</si>
  <si>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</si>
  <si>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</si>
  <si>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</si>
  <si>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</si>
  <si>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</si>
  <si>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</si>
  <si>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</si>
  <si>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</si>
  <si>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</si>
  <si>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</si>
  <si>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</si>
  <si>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</si>
  <si>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</si>
  <si>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</si>
  <si>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</si>
  <si>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</si>
  <si>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</si>
  <si>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</si>
  <si>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</si>
  <si>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</si>
  <si>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</si>
  <si>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</si>
  <si>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</si>
  <si>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</si>
  <si>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</si>
  <si>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</si>
  <si>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</si>
  <si>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</si>
  <si>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</si>
  <si>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</si>
  <si>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</si>
  <si>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</si>
  <si>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</si>
  <si>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</si>
  <si>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</si>
  <si>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</si>
  <si>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</si>
  <si>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</si>
  <si>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</si>
  <si>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</si>
  <si>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</si>
  <si>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</si>
  <si>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</si>
  <si>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</si>
  <si>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</si>
  <si>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</si>
  <si>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</si>
  <si>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</si>
  <si>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</si>
  <si>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</si>
  <si>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</si>
  <si>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</si>
  <si>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</si>
  <si>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</si>
  <si>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</si>
  <si>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</si>
  <si>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</si>
  <si>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</si>
  <si>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</si>
  <si>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</si>
  <si>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</si>
  <si>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</si>
  <si>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</si>
  <si>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</si>
  <si>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</si>
  <si>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</si>
  <si>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</si>
  <si>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</si>
  <si>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</si>
  <si>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</si>
  <si>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</si>
  <si>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</si>
  <si>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</si>
  <si>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</si>
  <si>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</si>
  <si>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</si>
  <si>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</si>
  <si>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</si>
  <si>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</si>
  <si>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</si>
  <si>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</si>
  <si>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</si>
  <si>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</si>
  <si>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</si>
  <si>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</si>
  <si>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</si>
  <si>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</si>
  <si>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</si>
  <si>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</si>
  <si>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</si>
  <si>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</si>
  <si>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</si>
  <si>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</si>
  <si>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</si>
  <si>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</si>
  <si>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</si>
  <si>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</si>
  <si>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</si>
  <si>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</si>
  <si>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</si>
  <si>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</si>
  <si>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</si>
  <si>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</si>
  <si>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</si>
  <si>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</si>
  <si>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</si>
  <si>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</si>
  <si>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</si>
  <si>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</si>
  <si>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</si>
  <si>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</si>
  <si>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</si>
  <si>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</si>
  <si>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</si>
  <si>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</si>
  <si>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</si>
  <si>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</si>
  <si>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</si>
  <si>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</si>
  <si>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</si>
  <si>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</si>
  <si>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</si>
  <si>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</si>
  <si>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</si>
  <si>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</si>
  <si>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</si>
  <si>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</si>
  <si>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</si>
  <si>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</si>
  <si>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</si>
  <si>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</si>
  <si>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</si>
  <si>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</si>
  <si>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</si>
  <si>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</si>
  <si>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</si>
  <si>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</si>
  <si>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</si>
  <si>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</si>
  <si>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</si>
  <si>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</si>
  <si>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</si>
  <si>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</si>
  <si>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</si>
  <si>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</si>
  <si>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</si>
  <si>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</si>
  <si>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</si>
  <si>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</si>
  <si>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</si>
  <si>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</si>
  <si>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</si>
  <si>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</si>
  <si>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</si>
  <si>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</si>
  <si>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</si>
  <si>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Cornish</t>
  </si>
  <si>
    <t>07/15/11</t>
  </si>
  <si>
    <t>07/15/19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</si>
</sst>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115</v>
      </c>
      <c r="C2" s="21">
        <v>115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250+15285+11420+100000-68358</f>
        <v>58597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128259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2267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64656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123253</v>
      </c>
      <c r="G19" s="41">
        <f>SUM(G9:G18)</f>
        <v>2267</v>
      </c>
      <c r="H19" s="41">
        <f>SUM(H9:H18)</f>
        <v>0</v>
      </c>
      <c r="I19" s="41">
        <f>SUM(I9:I18)</f>
        <v>0</v>
      </c>
      <c r="J19" s="41">
        <f>SUM(J9:J18)</f>
        <v>128259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31014</v>
      </c>
      <c r="G22" s="18">
        <v>11684</v>
      </c>
      <c r="H22" s="18">
        <f>-43568</f>
        <v>-43568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0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-210-231</f>
        <v>-441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30573</v>
      </c>
      <c r="G32" s="41">
        <f>SUM(G22:G31)</f>
        <v>11684</v>
      </c>
      <c r="H32" s="41">
        <f>SUM(H22:H31)</f>
        <v>-43568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-11684+2267</f>
        <v>-9417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15289</v>
      </c>
      <c r="G47" s="18"/>
      <c r="H47" s="18">
        <f>45772+12779-2204-15618+2839</f>
        <v>43568</v>
      </c>
      <c r="I47" s="18"/>
      <c r="J47" s="13">
        <f>SUM(I458)</f>
        <v>128259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5118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-5118+77391</f>
        <v>72273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92680</v>
      </c>
      <c r="G50" s="41">
        <f>SUM(G35:G49)</f>
        <v>-9417</v>
      </c>
      <c r="H50" s="41">
        <f>SUM(H35:H49)</f>
        <v>43568</v>
      </c>
      <c r="I50" s="41">
        <f>SUM(I35:I49)</f>
        <v>0</v>
      </c>
      <c r="J50" s="41">
        <f>SUM(J35:J49)</f>
        <v>128259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123253</v>
      </c>
      <c r="G51" s="41">
        <f>G50+G32</f>
        <v>2267</v>
      </c>
      <c r="H51" s="41">
        <f>H50+H32</f>
        <v>0</v>
      </c>
      <c r="I51" s="41">
        <f>I50+I32</f>
        <v>0</v>
      </c>
      <c r="J51" s="41">
        <f>J50+J32</f>
        <v>128259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2614478-44800-402843</f>
        <v>2166835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f>44800</f>
        <v>44800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2211635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f>41888</f>
        <v>41888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41888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1338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19424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4123</v>
      </c>
      <c r="G109" s="18">
        <f>4028-611</f>
        <v>3417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5461</v>
      </c>
      <c r="G110" s="41">
        <f>SUM(G95:G109)</f>
        <v>22841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2217096</v>
      </c>
      <c r="G111" s="41">
        <f>G59+G110</f>
        <v>22841</v>
      </c>
      <c r="H111" s="41">
        <f>H59+H78+H93+H110</f>
        <v>41888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742953-643</f>
        <v>742310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402843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1145796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17627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611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257</f>
        <v>257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17627</v>
      </c>
      <c r="G135" s="41">
        <f>SUM(G122:G134)</f>
        <v>611</v>
      </c>
      <c r="H135" s="41">
        <f>SUM(H122:H134)</f>
        <v>257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1163423</v>
      </c>
      <c r="G139" s="41">
        <f>G120+SUM(G135:G136)</f>
        <v>611</v>
      </c>
      <c r="H139" s="41">
        <f>H120+SUM(H135:H138)</f>
        <v>257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5124+1390</f>
        <v>6514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3198+2552+6072-3198-2552+2839</f>
        <v>8911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9375+114+1365-9375</f>
        <v>1479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13400-611</f>
        <v>12789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15366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15366</v>
      </c>
      <c r="G161" s="41">
        <f>SUM(G149:G160)</f>
        <v>12789</v>
      </c>
      <c r="H161" s="41">
        <f>SUM(H149:H160)</f>
        <v>16904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15366</v>
      </c>
      <c r="G168" s="41">
        <f>G146+G161+SUM(G162:G167)</f>
        <v>12789</v>
      </c>
      <c r="H168" s="41">
        <f>H146+H161+SUM(H162:H167)</f>
        <v>16904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28000</v>
      </c>
      <c r="H178" s="18"/>
      <c r="I178" s="18"/>
      <c r="J178" s="18">
        <v>9000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1488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1488</v>
      </c>
      <c r="G182" s="41">
        <f>SUM(G178:G181)</f>
        <v>28000</v>
      </c>
      <c r="H182" s="41">
        <f>SUM(H178:H181)</f>
        <v>0</v>
      </c>
      <c r="I182" s="41">
        <f>SUM(I178:I181)</f>
        <v>0</v>
      </c>
      <c r="J182" s="41">
        <f>SUM(J178:J181)</f>
        <v>9000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43000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43000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44488</v>
      </c>
      <c r="G191" s="41">
        <f>G182+SUM(G187:G190)</f>
        <v>28000</v>
      </c>
      <c r="H191" s="41">
        <f>+H182+SUM(H187:H190)</f>
        <v>0</v>
      </c>
      <c r="I191" s="41">
        <f>I176+I182+SUM(I187:I190)</f>
        <v>0</v>
      </c>
      <c r="J191" s="41">
        <f>J182</f>
        <v>9000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3440373</v>
      </c>
      <c r="G192" s="47">
        <f>G111+G139+G168+G191</f>
        <v>64241</v>
      </c>
      <c r="H192" s="47">
        <f>H111+H139+H168+H191</f>
        <v>59049</v>
      </c>
      <c r="I192" s="47">
        <f>I111+I139+I168+I191</f>
        <v>0</v>
      </c>
      <c r="J192" s="47">
        <f>J111+J139+J191</f>
        <v>9000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575944+77249+25805</f>
        <v>678998</v>
      </c>
      <c r="G196" s="18">
        <f>167617+10461+629+438+2443+8913+38111+53556</f>
        <v>282168</v>
      </c>
      <c r="H196" s="18">
        <f>12657+2106+100+12276</f>
        <v>27139</v>
      </c>
      <c r="I196" s="18">
        <f>12195+13832+7872+2809+4063+6526</f>
        <v>47297</v>
      </c>
      <c r="J196" s="18">
        <f>2948</f>
        <v>2948</v>
      </c>
      <c r="K196" s="18">
        <v>80</v>
      </c>
      <c r="L196" s="19">
        <f>SUM(F196:K196)</f>
        <v>1038630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102028+78654+1600</f>
        <v>182282</v>
      </c>
      <c r="G197" s="18">
        <f>59707+4979+331+143+778+2815+12039+20435+23+98+194</f>
        <v>101542</v>
      </c>
      <c r="H197" s="18">
        <f>11986+20176+11776+647</f>
        <v>44585</v>
      </c>
      <c r="I197" s="18">
        <f>729</f>
        <v>729</v>
      </c>
      <c r="J197" s="18">
        <f>199+75</f>
        <v>274</v>
      </c>
      <c r="K197" s="18"/>
      <c r="L197" s="19">
        <f>SUM(F197:K197)</f>
        <v>329412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1070</f>
        <v>1070</v>
      </c>
      <c r="G199" s="18">
        <f>15+62</f>
        <v>77</v>
      </c>
      <c r="H199" s="18">
        <f>1962</f>
        <v>1962</v>
      </c>
      <c r="I199" s="18">
        <f>3499</f>
        <v>3499</v>
      </c>
      <c r="J199" s="18"/>
      <c r="K199" s="18"/>
      <c r="L199" s="19">
        <f>SUM(F199:K199)</f>
        <v>6608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36794+32953</f>
        <v>69747</v>
      </c>
      <c r="G201" s="18">
        <f>2937+271+25+139+470+2010+371+22+120+472+2018+3724</f>
        <v>12579</v>
      </c>
      <c r="H201" s="18">
        <f>143</f>
        <v>143</v>
      </c>
      <c r="I201" s="18">
        <f>40+854+529</f>
        <v>1423</v>
      </c>
      <c r="J201" s="18"/>
      <c r="K201" s="18"/>
      <c r="L201" s="19">
        <f t="shared" ref="L201:L207" si="0">SUM(F201:K201)</f>
        <v>83892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38892</f>
        <v>38892</v>
      </c>
      <c r="G202" s="18">
        <f>434+26+145+546+2333+4395</f>
        <v>7879</v>
      </c>
      <c r="H202" s="18">
        <f>6808</f>
        <v>6808</v>
      </c>
      <c r="I202" s="18">
        <f>1502+573+356</f>
        <v>2431</v>
      </c>
      <c r="J202" s="18"/>
      <c r="K202" s="18"/>
      <c r="L202" s="19">
        <f t="shared" si="0"/>
        <v>56010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200+30+15+573</f>
        <v>818</v>
      </c>
      <c r="G203" s="18">
        <f>14+60</f>
        <v>74</v>
      </c>
      <c r="H203" s="18">
        <f>6055+9814+967+950+125+153129</f>
        <v>171040</v>
      </c>
      <c r="I203" s="18">
        <f>609</f>
        <v>609</v>
      </c>
      <c r="J203" s="18"/>
      <c r="K203" s="18">
        <f>2461</f>
        <v>2461</v>
      </c>
      <c r="L203" s="19">
        <f t="shared" si="0"/>
        <v>175002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77000+32844</f>
        <v>109844</v>
      </c>
      <c r="G204" s="18">
        <f>24083+1249+242+76+420+1522+6511+12853</f>
        <v>46956</v>
      </c>
      <c r="H204" s="18">
        <f>2361+924+203+990+248</f>
        <v>4726</v>
      </c>
      <c r="I204" s="18">
        <f>197</f>
        <v>197</v>
      </c>
      <c r="J204" s="18"/>
      <c r="K204" s="18">
        <f>218+485+369</f>
        <v>1072</v>
      </c>
      <c r="L204" s="19">
        <f t="shared" si="0"/>
        <v>162795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74804</f>
        <v>74804</v>
      </c>
      <c r="G206" s="18">
        <f>11499+512+24+42+231+1030+4405+4368</f>
        <v>22111</v>
      </c>
      <c r="H206" s="18">
        <f>16524+1235+4325+1290+40546+3196+6017+7604</f>
        <v>80737</v>
      </c>
      <c r="I206" s="18">
        <f>10530+22458+6237+18928+28</f>
        <v>58181</v>
      </c>
      <c r="J206" s="18"/>
      <c r="K206" s="18"/>
      <c r="L206" s="19">
        <f t="shared" si="0"/>
        <v>235833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5593+131497</f>
        <v>137090</v>
      </c>
      <c r="I207" s="18"/>
      <c r="J207" s="18"/>
      <c r="K207" s="18"/>
      <c r="L207" s="19">
        <f t="shared" si="0"/>
        <v>137090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1156455</v>
      </c>
      <c r="G210" s="41">
        <f t="shared" si="1"/>
        <v>473386</v>
      </c>
      <c r="H210" s="41">
        <f t="shared" si="1"/>
        <v>474230</v>
      </c>
      <c r="I210" s="41">
        <f t="shared" si="1"/>
        <v>114366</v>
      </c>
      <c r="J210" s="41">
        <f t="shared" si="1"/>
        <v>3222</v>
      </c>
      <c r="K210" s="41">
        <f t="shared" si="1"/>
        <v>3613</v>
      </c>
      <c r="L210" s="41">
        <f t="shared" si="1"/>
        <v>2225272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748900+259367</f>
        <v>1008267</v>
      </c>
      <c r="I232" s="18"/>
      <c r="J232" s="18"/>
      <c r="K232" s="18"/>
      <c r="L232" s="19">
        <f>SUM(F232:K232)</f>
        <v>1008267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82200</f>
        <v>82200</v>
      </c>
      <c r="I233" s="18"/>
      <c r="J233" s="18"/>
      <c r="K233" s="18"/>
      <c r="L233" s="19">
        <f>SUM(F233:K233)</f>
        <v>82200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18910</f>
        <v>18910</v>
      </c>
      <c r="I243" s="18"/>
      <c r="J243" s="18"/>
      <c r="K243" s="18"/>
      <c r="L243" s="19">
        <f t="shared" si="4"/>
        <v>18910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1109377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1109377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1156455</v>
      </c>
      <c r="G256" s="41">
        <f t="shared" si="8"/>
        <v>473386</v>
      </c>
      <c r="H256" s="41">
        <f t="shared" si="8"/>
        <v>1583607</v>
      </c>
      <c r="I256" s="41">
        <f t="shared" si="8"/>
        <v>114366</v>
      </c>
      <c r="J256" s="41">
        <f t="shared" si="8"/>
        <v>3222</v>
      </c>
      <c r="K256" s="41">
        <f t="shared" si="8"/>
        <v>3613</v>
      </c>
      <c r="L256" s="41">
        <f t="shared" si="8"/>
        <v>3334649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51111</f>
        <v>51111</v>
      </c>
      <c r="L259" s="19">
        <f>SUM(F259:K259)</f>
        <v>51111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6910</f>
        <v>6910</v>
      </c>
      <c r="L260" s="19">
        <f>SUM(F260:K260)</f>
        <v>6910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28000</f>
        <v>28000</v>
      </c>
      <c r="L262" s="19">
        <f>SUM(F262:K262)</f>
        <v>28000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9000</f>
        <v>9000</v>
      </c>
      <c r="L265" s="19">
        <f t="shared" si="9"/>
        <v>9000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95021</v>
      </c>
      <c r="L269" s="41">
        <f t="shared" si="9"/>
        <v>95021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1156455</v>
      </c>
      <c r="G270" s="42">
        <f t="shared" si="11"/>
        <v>473386</v>
      </c>
      <c r="H270" s="42">
        <f t="shared" si="11"/>
        <v>1583607</v>
      </c>
      <c r="I270" s="42">
        <f t="shared" si="11"/>
        <v>114366</v>
      </c>
      <c r="J270" s="42">
        <f t="shared" si="11"/>
        <v>3222</v>
      </c>
      <c r="K270" s="42">
        <f t="shared" si="11"/>
        <v>98634</v>
      </c>
      <c r="L270" s="42">
        <f t="shared" si="11"/>
        <v>3429670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702</f>
        <v>702</v>
      </c>
      <c r="G275" s="18">
        <f>10+44+98</f>
        <v>152</v>
      </c>
      <c r="H275" s="18">
        <f>1000</f>
        <v>1000</v>
      </c>
      <c r="I275" s="18">
        <f>675+490</f>
        <v>1165</v>
      </c>
      <c r="J275" s="18">
        <f>843</f>
        <v>843</v>
      </c>
      <c r="K275" s="18">
        <f>77+76+36</f>
        <v>189</v>
      </c>
      <c r="L275" s="19">
        <f>SUM(F275:K275)</f>
        <v>4051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5746</f>
        <v>5746</v>
      </c>
      <c r="G276" s="18">
        <f>83+357</f>
        <v>440</v>
      </c>
      <c r="H276" s="18">
        <f>1925</f>
        <v>1925</v>
      </c>
      <c r="I276" s="18"/>
      <c r="J276" s="18"/>
      <c r="K276" s="18">
        <f>1+57-31+45+5+510</f>
        <v>587</v>
      </c>
      <c r="L276" s="19">
        <f>SUM(F276:K276)</f>
        <v>8698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19982+10470</f>
        <v>30452</v>
      </c>
      <c r="G278" s="18">
        <f>4010+370+287+1229+1814+1693+156+144+617+686</f>
        <v>11006</v>
      </c>
      <c r="H278" s="18">
        <f>334</f>
        <v>334</v>
      </c>
      <c r="I278" s="18">
        <f>588+1710</f>
        <v>2298</v>
      </c>
      <c r="J278" s="18"/>
      <c r="K278" s="18"/>
      <c r="L278" s="19">
        <f>SUM(F278:K278)</f>
        <v>44090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1100</f>
        <v>1100</v>
      </c>
      <c r="G281" s="18">
        <f>15+62+124</f>
        <v>201</v>
      </c>
      <c r="H281" s="18">
        <f>760+2315+457+266</f>
        <v>3798</v>
      </c>
      <c r="I281" s="18">
        <f>100+410</f>
        <v>510</v>
      </c>
      <c r="J281" s="18">
        <f>-1203</f>
        <v>-1203</v>
      </c>
      <c r="K281" s="18"/>
      <c r="L281" s="19">
        <f t="shared" si="12"/>
        <v>4406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38000</v>
      </c>
      <c r="G289" s="42">
        <f t="shared" si="13"/>
        <v>11799</v>
      </c>
      <c r="H289" s="42">
        <f t="shared" si="13"/>
        <v>7057</v>
      </c>
      <c r="I289" s="42">
        <f t="shared" si="13"/>
        <v>3973</v>
      </c>
      <c r="J289" s="42">
        <f t="shared" si="13"/>
        <v>-360</v>
      </c>
      <c r="K289" s="42">
        <f t="shared" si="13"/>
        <v>776</v>
      </c>
      <c r="L289" s="41">
        <f t="shared" si="13"/>
        <v>61245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38000</v>
      </c>
      <c r="G337" s="41">
        <f t="shared" si="20"/>
        <v>11799</v>
      </c>
      <c r="H337" s="41">
        <f t="shared" si="20"/>
        <v>7057</v>
      </c>
      <c r="I337" s="41">
        <f t="shared" si="20"/>
        <v>3973</v>
      </c>
      <c r="J337" s="41">
        <f t="shared" si="20"/>
        <v>-360</v>
      </c>
      <c r="K337" s="41">
        <f t="shared" si="20"/>
        <v>776</v>
      </c>
      <c r="L337" s="41">
        <f t="shared" si="20"/>
        <v>61245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38000</v>
      </c>
      <c r="G351" s="41">
        <f>G337</f>
        <v>11799</v>
      </c>
      <c r="H351" s="41">
        <f>H337</f>
        <v>7057</v>
      </c>
      <c r="I351" s="41">
        <f>I337</f>
        <v>3973</v>
      </c>
      <c r="J351" s="41">
        <f>J337</f>
        <v>-360</v>
      </c>
      <c r="K351" s="47">
        <f>K337+K350</f>
        <v>776</v>
      </c>
      <c r="L351" s="41">
        <f>L337+L350</f>
        <v>61245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38397</v>
      </c>
      <c r="G357" s="18"/>
      <c r="H357" s="18">
        <v>9677</v>
      </c>
      <c r="I357" s="18">
        <f>627+118+168+172+252+648+15074</f>
        <v>17059</v>
      </c>
      <c r="J357" s="18"/>
      <c r="K357" s="18"/>
      <c r="L357" s="13">
        <f>SUM(F357:K357)</f>
        <v>65133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38397</v>
      </c>
      <c r="G361" s="47">
        <f t="shared" si="22"/>
        <v>0</v>
      </c>
      <c r="H361" s="47">
        <f t="shared" si="22"/>
        <v>9677</v>
      </c>
      <c r="I361" s="47">
        <f t="shared" si="22"/>
        <v>17059</v>
      </c>
      <c r="J361" s="47">
        <f t="shared" si="22"/>
        <v>0</v>
      </c>
      <c r="K361" s="47">
        <f t="shared" si="22"/>
        <v>0</v>
      </c>
      <c r="L361" s="47">
        <f t="shared" si="22"/>
        <v>65133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15074</f>
        <v>15074</v>
      </c>
      <c r="G366" s="18"/>
      <c r="H366" s="18"/>
      <c r="I366" s="56">
        <f>SUM(F366:H366)</f>
        <v>15074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17059-15074</f>
        <v>1985</v>
      </c>
      <c r="G367" s="63"/>
      <c r="H367" s="63"/>
      <c r="I367" s="56">
        <f>SUM(F367:H367)</f>
        <v>1985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17059</v>
      </c>
      <c r="G368" s="47">
        <f>SUM(G366:G367)</f>
        <v>0</v>
      </c>
      <c r="H368" s="47">
        <f>SUM(H366:H367)</f>
        <v>0</v>
      </c>
      <c r="I368" s="47">
        <f>SUM(I366:I367)</f>
        <v>17059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1488</v>
      </c>
      <c r="L380" s="13">
        <f t="shared" si="23"/>
        <v>1488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1488</v>
      </c>
      <c r="L381" s="47">
        <f t="shared" si="24"/>
        <v>1488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6000</v>
      </c>
      <c r="H395" s="18"/>
      <c r="I395" s="18"/>
      <c r="J395" s="24" t="s">
        <v>289</v>
      </c>
      <c r="K395" s="24" t="s">
        <v>289</v>
      </c>
      <c r="L395" s="56">
        <f t="shared" si="26"/>
        <v>6000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3000</v>
      </c>
      <c r="H397" s="18"/>
      <c r="I397" s="18"/>
      <c r="J397" s="24" t="s">
        <v>289</v>
      </c>
      <c r="K397" s="24" t="s">
        <v>289</v>
      </c>
      <c r="L397" s="56">
        <f t="shared" si="26"/>
        <v>3000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9000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119259+9000</f>
        <v>128259</v>
      </c>
      <c r="G439" s="18"/>
      <c r="H439" s="18"/>
      <c r="I439" s="56">
        <f t="shared" si="33"/>
        <v>128259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128259</v>
      </c>
      <c r="G445" s="13">
        <f>SUM(G438:G444)</f>
        <v>0</v>
      </c>
      <c r="H445" s="13">
        <f>SUM(H438:H444)</f>
        <v>0</v>
      </c>
      <c r="I445" s="13">
        <f>SUM(I438:I444)</f>
        <v>128259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119259+9000</f>
        <v>128259</v>
      </c>
      <c r="G458" s="18"/>
      <c r="H458" s="18"/>
      <c r="I458" s="56">
        <f t="shared" si="34"/>
        <v>128259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128259</v>
      </c>
      <c r="G459" s="83">
        <f>SUM(G453:G458)</f>
        <v>0</v>
      </c>
      <c r="H459" s="83">
        <f>SUM(H453:H458)</f>
        <v>0</v>
      </c>
      <c r="I459" s="83">
        <f>SUM(I453:I458)</f>
        <v>128259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128259</v>
      </c>
      <c r="G460" s="42">
        <f>G451+G459</f>
        <v>0</v>
      </c>
      <c r="H460" s="42">
        <f>H451+H459</f>
        <v>0</v>
      </c>
      <c r="I460" s="42">
        <f>I451+I459</f>
        <v>128259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79821</v>
      </c>
      <c r="G464" s="18">
        <f>-8948</f>
        <v>-8948</v>
      </c>
      <c r="H464" s="18">
        <v>52844</v>
      </c>
      <c r="I464" s="18">
        <v>1488</v>
      </c>
      <c r="J464" s="18">
        <v>119259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3440373</v>
      </c>
      <c r="G467" s="18">
        <f>G192</f>
        <v>64241</v>
      </c>
      <c r="H467" s="18">
        <f>H192</f>
        <v>59049</v>
      </c>
      <c r="I467" s="18"/>
      <c r="J467" s="18">
        <f>L407</f>
        <v>9000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3644-1488</f>
        <v>2156</v>
      </c>
      <c r="G468" s="18">
        <f>900-477</f>
        <v>423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3442529</v>
      </c>
      <c r="G469" s="53">
        <f>SUM(G467:G468)</f>
        <v>64664</v>
      </c>
      <c r="H469" s="53">
        <f>SUM(H467:H468)</f>
        <v>59049</v>
      </c>
      <c r="I469" s="53">
        <f>SUM(I467:I468)</f>
        <v>0</v>
      </c>
      <c r="J469" s="53">
        <f>SUM(J467:J468)</f>
        <v>9000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3429670</v>
      </c>
      <c r="G471" s="18">
        <f>L361</f>
        <v>65133</v>
      </c>
      <c r="H471" s="18">
        <f>L351</f>
        <v>61245</v>
      </c>
      <c r="I471" s="18">
        <f>L381</f>
        <v>1488</v>
      </c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7080</v>
      </c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3429670</v>
      </c>
      <c r="G473" s="53">
        <f>SUM(G471:G472)</f>
        <v>65133</v>
      </c>
      <c r="H473" s="53">
        <f>SUM(H471:H472)</f>
        <v>68325</v>
      </c>
      <c r="I473" s="53">
        <f>SUM(I471:I472)</f>
        <v>1488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92680</v>
      </c>
      <c r="G475" s="53">
        <f>(G464+G469)- G473</f>
        <v>-9417</v>
      </c>
      <c r="H475" s="53">
        <f>(H464+H469)- H473</f>
        <v>43568</v>
      </c>
      <c r="I475" s="53">
        <f>(I464+I469)- I473</f>
        <v>0</v>
      </c>
      <c r="J475" s="53">
        <f>(J464+J469)- J473</f>
        <v>128259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9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460000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2.9899999999999999E-2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460000</v>
      </c>
      <c r="G494" s="18"/>
      <c r="H494" s="18"/>
      <c r="I494" s="18"/>
      <c r="J494" s="18"/>
      <c r="K494" s="53">
        <f>SUM(F494:J494)</f>
        <v>460000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51111</v>
      </c>
      <c r="G496" s="18"/>
      <c r="H496" s="18"/>
      <c r="I496" s="18"/>
      <c r="J496" s="18"/>
      <c r="K496" s="53">
        <f t="shared" si="35"/>
        <v>51111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408889</v>
      </c>
      <c r="G497" s="205"/>
      <c r="H497" s="205"/>
      <c r="I497" s="205"/>
      <c r="J497" s="205"/>
      <c r="K497" s="206">
        <f t="shared" si="35"/>
        <v>408889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13390+10698+9169+7641+6130+4585+3056+1529</f>
        <v>56198</v>
      </c>
      <c r="G498" s="18"/>
      <c r="H498" s="18"/>
      <c r="I498" s="18"/>
      <c r="J498" s="18"/>
      <c r="K498" s="53">
        <f t="shared" si="35"/>
        <v>56198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465087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465087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51111</f>
        <v>51111</v>
      </c>
      <c r="G500" s="205"/>
      <c r="H500" s="205"/>
      <c r="I500" s="205"/>
      <c r="J500" s="205"/>
      <c r="K500" s="206">
        <f t="shared" si="35"/>
        <v>51111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6096+5393</f>
        <v>11489</v>
      </c>
      <c r="G501" s="18"/>
      <c r="H501" s="18"/>
      <c r="I501" s="18"/>
      <c r="J501" s="18"/>
      <c r="K501" s="53">
        <f t="shared" si="35"/>
        <v>11489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62600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62600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188028</v>
      </c>
      <c r="G520" s="18">
        <f>G197+G276</f>
        <v>101982</v>
      </c>
      <c r="H520" s="18">
        <f>H197+H276-20176-11776</f>
        <v>14558</v>
      </c>
      <c r="I520" s="18">
        <f>I197+I276</f>
        <v>729</v>
      </c>
      <c r="J520" s="18">
        <f>J197+J276</f>
        <v>274</v>
      </c>
      <c r="K520" s="18">
        <f>K197+K276</f>
        <v>587</v>
      </c>
      <c r="L520" s="88">
        <f>SUM(F520:K520)</f>
        <v>306158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 t="shared" ref="F521:K521" si="36">F215+F295</f>
        <v>0</v>
      </c>
      <c r="G521" s="18">
        <f t="shared" si="36"/>
        <v>0</v>
      </c>
      <c r="H521" s="18">
        <f t="shared" si="36"/>
        <v>0</v>
      </c>
      <c r="I521" s="18">
        <f t="shared" si="36"/>
        <v>0</v>
      </c>
      <c r="J521" s="18">
        <f t="shared" si="36"/>
        <v>0</v>
      </c>
      <c r="K521" s="18">
        <f t="shared" si="36"/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 t="shared" ref="F522:K522" si="37">F233+F314</f>
        <v>0</v>
      </c>
      <c r="G522" s="18">
        <f t="shared" si="37"/>
        <v>0</v>
      </c>
      <c r="H522" s="18">
        <f t="shared" si="37"/>
        <v>82200</v>
      </c>
      <c r="I522" s="18">
        <f t="shared" si="37"/>
        <v>0</v>
      </c>
      <c r="J522" s="18">
        <f t="shared" si="37"/>
        <v>0</v>
      </c>
      <c r="K522" s="18">
        <f t="shared" si="37"/>
        <v>0</v>
      </c>
      <c r="L522" s="88">
        <f>SUM(F522:K522)</f>
        <v>82200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188028</v>
      </c>
      <c r="G523" s="108">
        <f t="shared" ref="G523:L523" si="38">SUM(G520:G522)</f>
        <v>101982</v>
      </c>
      <c r="H523" s="108">
        <f t="shared" si="38"/>
        <v>96758</v>
      </c>
      <c r="I523" s="108">
        <f t="shared" si="38"/>
        <v>729</v>
      </c>
      <c r="J523" s="108">
        <f t="shared" si="38"/>
        <v>274</v>
      </c>
      <c r="K523" s="108">
        <f t="shared" si="38"/>
        <v>587</v>
      </c>
      <c r="L523" s="89">
        <f t="shared" si="38"/>
        <v>388358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11776+20176</f>
        <v>31952</v>
      </c>
      <c r="I525" s="18"/>
      <c r="J525" s="18"/>
      <c r="K525" s="18"/>
      <c r="L525" s="88">
        <f>SUM(F525:K525)</f>
        <v>31952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9">SUM(G525:G527)</f>
        <v>0</v>
      </c>
      <c r="H528" s="89">
        <f t="shared" si="39"/>
        <v>31952</v>
      </c>
      <c r="I528" s="89">
        <f t="shared" si="39"/>
        <v>0</v>
      </c>
      <c r="J528" s="89">
        <f t="shared" si="39"/>
        <v>0</v>
      </c>
      <c r="K528" s="89">
        <f t="shared" si="39"/>
        <v>0</v>
      </c>
      <c r="L528" s="89">
        <f t="shared" si="39"/>
        <v>31952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40">SUM(G530:G532)</f>
        <v>0</v>
      </c>
      <c r="H533" s="89">
        <f t="shared" si="40"/>
        <v>0</v>
      </c>
      <c r="I533" s="89">
        <f t="shared" si="40"/>
        <v>0</v>
      </c>
      <c r="J533" s="89">
        <f t="shared" si="40"/>
        <v>0</v>
      </c>
      <c r="K533" s="89">
        <f t="shared" si="40"/>
        <v>0</v>
      </c>
      <c r="L533" s="89">
        <f t="shared" si="40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1">SUM(G535:G537)</f>
        <v>0</v>
      </c>
      <c r="H538" s="89">
        <f t="shared" si="41"/>
        <v>0</v>
      </c>
      <c r="I538" s="89">
        <f t="shared" si="41"/>
        <v>0</v>
      </c>
      <c r="J538" s="89">
        <f t="shared" si="41"/>
        <v>0</v>
      </c>
      <c r="K538" s="89">
        <f t="shared" si="41"/>
        <v>0</v>
      </c>
      <c r="L538" s="89">
        <f t="shared" si="41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18910</v>
      </c>
      <c r="I542" s="18"/>
      <c r="J542" s="18"/>
      <c r="K542" s="18"/>
      <c r="L542" s="88">
        <f>SUM(F542:K542)</f>
        <v>18910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2">SUM(G540:G542)</f>
        <v>0</v>
      </c>
      <c r="H543" s="194">
        <f t="shared" si="42"/>
        <v>18910</v>
      </c>
      <c r="I543" s="194">
        <f t="shared" si="42"/>
        <v>0</v>
      </c>
      <c r="J543" s="194">
        <f t="shared" si="42"/>
        <v>0</v>
      </c>
      <c r="K543" s="194">
        <f t="shared" si="42"/>
        <v>0</v>
      </c>
      <c r="L543" s="194">
        <f t="shared" si="42"/>
        <v>18910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188028</v>
      </c>
      <c r="G544" s="89">
        <f t="shared" ref="G544:L544" si="43">G523+G528+G533+G538+G543</f>
        <v>101982</v>
      </c>
      <c r="H544" s="89">
        <f t="shared" si="43"/>
        <v>147620</v>
      </c>
      <c r="I544" s="89">
        <f t="shared" si="43"/>
        <v>729</v>
      </c>
      <c r="J544" s="89">
        <f t="shared" si="43"/>
        <v>274</v>
      </c>
      <c r="K544" s="89">
        <f t="shared" si="43"/>
        <v>587</v>
      </c>
      <c r="L544" s="89">
        <f t="shared" si="43"/>
        <v>439220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306158</v>
      </c>
      <c r="G548" s="87">
        <f>L525</f>
        <v>31952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338110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82200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18910</v>
      </c>
      <c r="K550" s="87">
        <f>SUM(F550:J550)</f>
        <v>101110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4">SUM(F548:F550)</f>
        <v>388358</v>
      </c>
      <c r="G551" s="89">
        <f t="shared" si="44"/>
        <v>31952</v>
      </c>
      <c r="H551" s="89">
        <f t="shared" si="44"/>
        <v>0</v>
      </c>
      <c r="I551" s="89">
        <f t="shared" si="44"/>
        <v>0</v>
      </c>
      <c r="J551" s="89">
        <f t="shared" si="44"/>
        <v>18910</v>
      </c>
      <c r="K551" s="89">
        <f t="shared" si="44"/>
        <v>439220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5">SUM(F556:F558)</f>
        <v>0</v>
      </c>
      <c r="G559" s="108">
        <f t="shared" si="45"/>
        <v>0</v>
      </c>
      <c r="H559" s="108">
        <f t="shared" si="45"/>
        <v>0</v>
      </c>
      <c r="I559" s="108">
        <f t="shared" si="45"/>
        <v>0</v>
      </c>
      <c r="J559" s="108">
        <f t="shared" si="45"/>
        <v>0</v>
      </c>
      <c r="K559" s="108">
        <f t="shared" si="45"/>
        <v>0</v>
      </c>
      <c r="L559" s="89">
        <f t="shared" si="45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6">SUM(F561:F563)</f>
        <v>0</v>
      </c>
      <c r="G564" s="89">
        <f t="shared" si="46"/>
        <v>0</v>
      </c>
      <c r="H564" s="89">
        <f t="shared" si="46"/>
        <v>0</v>
      </c>
      <c r="I564" s="89">
        <f t="shared" si="46"/>
        <v>0</v>
      </c>
      <c r="J564" s="89">
        <f t="shared" si="46"/>
        <v>0</v>
      </c>
      <c r="K564" s="89">
        <f t="shared" si="46"/>
        <v>0</v>
      </c>
      <c r="L564" s="89">
        <f t="shared" si="46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7">SUM(G566:G568)</f>
        <v>0</v>
      </c>
      <c r="H569" s="194">
        <f t="shared" si="47"/>
        <v>0</v>
      </c>
      <c r="I569" s="194">
        <f t="shared" si="47"/>
        <v>0</v>
      </c>
      <c r="J569" s="194">
        <f t="shared" si="47"/>
        <v>0</v>
      </c>
      <c r="K569" s="194">
        <f t="shared" si="47"/>
        <v>0</v>
      </c>
      <c r="L569" s="194">
        <f t="shared" si="47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8">G559+G564+G569</f>
        <v>0</v>
      </c>
      <c r="H570" s="89">
        <f t="shared" si="48"/>
        <v>0</v>
      </c>
      <c r="I570" s="89">
        <f t="shared" si="48"/>
        <v>0</v>
      </c>
      <c r="J570" s="89">
        <f t="shared" si="48"/>
        <v>0</v>
      </c>
      <c r="K570" s="89">
        <f t="shared" si="48"/>
        <v>0</v>
      </c>
      <c r="L570" s="89">
        <f t="shared" si="48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259367</v>
      </c>
      <c r="I574" s="87">
        <f>SUM(F574:H574)</f>
        <v>259367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f>748900</f>
        <v>748900</v>
      </c>
      <c r="I575" s="87">
        <f t="shared" ref="I575:I586" si="49">SUM(F575:H575)</f>
        <v>748900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9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12276</v>
      </c>
      <c r="G577" s="18"/>
      <c r="H577" s="18"/>
      <c r="I577" s="87">
        <f t="shared" si="49"/>
        <v>12276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82200</v>
      </c>
      <c r="I579" s="87">
        <f t="shared" si="49"/>
        <v>82200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9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H207-5593</f>
        <v>131497</v>
      </c>
      <c r="I590" s="18"/>
      <c r="J590" s="18"/>
      <c r="K590" s="104">
        <f t="shared" ref="K590:K596" si="50">SUM(H590:J590)</f>
        <v>131497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f>H243</f>
        <v>18910</v>
      </c>
      <c r="K591" s="104">
        <f t="shared" si="50"/>
        <v>18910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50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5593</v>
      </c>
      <c r="I594" s="18"/>
      <c r="J594" s="18"/>
      <c r="K594" s="104">
        <f t="shared" si="50"/>
        <v>5593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0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137090</v>
      </c>
      <c r="I597" s="108">
        <f>SUM(I590:I596)</f>
        <v>0</v>
      </c>
      <c r="J597" s="108">
        <f>SUM(J590:J596)</f>
        <v>18910</v>
      </c>
      <c r="K597" s="108">
        <f>SUM(K590:K596)</f>
        <v>156000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J210+J351</f>
        <v>2862</v>
      </c>
      <c r="I603" s="18"/>
      <c r="J603" s="18"/>
      <c r="K603" s="104">
        <f>SUM(H603:J603)</f>
        <v>2862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2862</v>
      </c>
      <c r="I604" s="108">
        <f>SUM(I601:I603)</f>
        <v>0</v>
      </c>
      <c r="J604" s="108">
        <f>SUM(J601:J603)</f>
        <v>0</v>
      </c>
      <c r="K604" s="108">
        <f>SUM(K601:K603)</f>
        <v>2862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0</v>
      </c>
      <c r="G613" s="108">
        <f t="shared" si="51"/>
        <v>0</v>
      </c>
      <c r="H613" s="108">
        <f t="shared" si="51"/>
        <v>0</v>
      </c>
      <c r="I613" s="108">
        <f t="shared" si="51"/>
        <v>0</v>
      </c>
      <c r="J613" s="108">
        <f t="shared" si="51"/>
        <v>0</v>
      </c>
      <c r="K613" s="108">
        <f t="shared" si="51"/>
        <v>0</v>
      </c>
      <c r="L613" s="89">
        <f t="shared" si="51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123253</v>
      </c>
      <c r="H616" s="109">
        <f>SUM(F51)</f>
        <v>123253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2267</v>
      </c>
      <c r="H617" s="109">
        <f>SUM(G51)</f>
        <v>2267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128259</v>
      </c>
      <c r="H620" s="109">
        <f>SUM(J51)</f>
        <v>128259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92680</v>
      </c>
      <c r="H621" s="109">
        <f>F475</f>
        <v>92680</v>
      </c>
      <c r="I621" s="121" t="s">
        <v>101</v>
      </c>
      <c r="J621" s="109">
        <f t="shared" ref="J621:J654" si="52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-9417</v>
      </c>
      <c r="H622" s="109">
        <f>G475</f>
        <v>-9417</v>
      </c>
      <c r="I622" s="121" t="s">
        <v>102</v>
      </c>
      <c r="J622" s="109">
        <f t="shared" si="52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43568</v>
      </c>
      <c r="H623" s="109">
        <f>H475</f>
        <v>43568</v>
      </c>
      <c r="I623" s="121" t="s">
        <v>103</v>
      </c>
      <c r="J623" s="109">
        <f t="shared" si="52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128259</v>
      </c>
      <c r="H625" s="109">
        <f>J475</f>
        <v>128259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3440373</v>
      </c>
      <c r="H626" s="104">
        <f>SUM(F467)</f>
        <v>3440373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64241</v>
      </c>
      <c r="H627" s="104">
        <f>SUM(G467)</f>
        <v>64241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59049</v>
      </c>
      <c r="H628" s="104">
        <f>SUM(H467)</f>
        <v>59049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9000</v>
      </c>
      <c r="H630" s="104">
        <f>SUM(J467)</f>
        <v>9000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3429670</v>
      </c>
      <c r="H631" s="104">
        <f>SUM(F471)</f>
        <v>3429670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61245</v>
      </c>
      <c r="H632" s="104">
        <f>SUM(H471)</f>
        <v>61245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17059</v>
      </c>
      <c r="H633" s="104">
        <f>I368</f>
        <v>17059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65133</v>
      </c>
      <c r="H634" s="104">
        <f>SUM(G471)</f>
        <v>65133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1488</v>
      </c>
      <c r="H635" s="104">
        <f>SUM(I471)</f>
        <v>1488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9000</v>
      </c>
      <c r="H636" s="164">
        <f>SUM(J467)</f>
        <v>9000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128259</v>
      </c>
      <c r="H638" s="104">
        <f>SUM(F460)</f>
        <v>128259</v>
      </c>
      <c r="I638" s="140" t="s">
        <v>868</v>
      </c>
      <c r="J638" s="109">
        <f t="shared" si="52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2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2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128259</v>
      </c>
      <c r="H641" s="104">
        <f>SUM(I460)</f>
        <v>128259</v>
      </c>
      <c r="I641" s="140" t="s">
        <v>871</v>
      </c>
      <c r="J641" s="109">
        <f t="shared" si="52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9000</v>
      </c>
      <c r="H644" s="104">
        <f>G407</f>
        <v>9000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9000</v>
      </c>
      <c r="H645" s="104">
        <f>L407</f>
        <v>9000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156000</v>
      </c>
      <c r="H646" s="104">
        <f>L207+L225+L243</f>
        <v>156000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2862</v>
      </c>
      <c r="H647" s="104">
        <f>(J256+J337)-(J254+J335)</f>
        <v>2862</v>
      </c>
      <c r="I647" s="140" t="s">
        <v>703</v>
      </c>
      <c r="J647" s="109">
        <f t="shared" si="52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137090</v>
      </c>
      <c r="H648" s="104">
        <f>H597</f>
        <v>137090</v>
      </c>
      <c r="I648" s="140" t="s">
        <v>389</v>
      </c>
      <c r="J648" s="109">
        <f t="shared" si="52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2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18910</v>
      </c>
      <c r="H650" s="104">
        <f>J597</f>
        <v>18910</v>
      </c>
      <c r="I650" s="140" t="s">
        <v>391</v>
      </c>
      <c r="J650" s="109">
        <f t="shared" si="52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28000</v>
      </c>
      <c r="H651" s="104">
        <f>K262+K344</f>
        <v>28000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9000</v>
      </c>
      <c r="H654" s="104">
        <f>K265+K346</f>
        <v>9000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2351650</v>
      </c>
      <c r="G659" s="19">
        <f>(L228+L308+L358)</f>
        <v>0</v>
      </c>
      <c r="H659" s="19">
        <f>(L246+L327+L359)</f>
        <v>1109377</v>
      </c>
      <c r="I659" s="19">
        <f>SUM(F659:H659)</f>
        <v>3461027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22841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22841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137090</v>
      </c>
      <c r="G661" s="19">
        <f>(L225+L305)-(J225+J305)</f>
        <v>0</v>
      </c>
      <c r="H661" s="19">
        <f>(L243+L324)-(J243+J324)</f>
        <v>18910</v>
      </c>
      <c r="I661" s="19">
        <f>SUM(F661:H661)</f>
        <v>156000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15138</v>
      </c>
      <c r="G662" s="200">
        <f>SUM(G574:G586)+SUM(I601:I603)+L611</f>
        <v>0</v>
      </c>
      <c r="H662" s="200">
        <f>SUM(H574:H586)+SUM(J601:J603)+L612</f>
        <v>1090467</v>
      </c>
      <c r="I662" s="19">
        <f>SUM(F662:H662)</f>
        <v>1105605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2176581</v>
      </c>
      <c r="G663" s="19">
        <f>G659-SUM(G660:G662)</f>
        <v>0</v>
      </c>
      <c r="H663" s="19">
        <f>H659-SUM(H660:H662)</f>
        <v>0</v>
      </c>
      <c r="I663" s="19">
        <f>I659-SUM(I660:I662)</f>
        <v>2176581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119.39</v>
      </c>
      <c r="G664" s="249"/>
      <c r="H664" s="249"/>
      <c r="I664" s="19">
        <f>SUM(F664:H664)</f>
        <v>119.39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18230.849999999999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18230.849999999999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18230.849999999999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18230.849999999999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Cornish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679700</v>
      </c>
      <c r="C9" s="230">
        <f>'DOE25'!G196+'DOE25'!G214+'DOE25'!G232+'DOE25'!G275+'DOE25'!G294+'DOE25'!G313</f>
        <v>282320</v>
      </c>
    </row>
    <row r="10" spans="1:3">
      <c r="A10" t="s">
        <v>779</v>
      </c>
      <c r="B10" s="241">
        <v>575944</v>
      </c>
      <c r="C10" s="241">
        <f>282320-38800-2650</f>
        <v>240870</v>
      </c>
    </row>
    <row r="11" spans="1:3">
      <c r="A11" t="s">
        <v>780</v>
      </c>
      <c r="B11" s="241">
        <v>77250</v>
      </c>
      <c r="C11" s="241">
        <v>38800</v>
      </c>
    </row>
    <row r="12" spans="1:3">
      <c r="A12" t="s">
        <v>781</v>
      </c>
      <c r="B12" s="241">
        <f>701+25805</f>
        <v>26506</v>
      </c>
      <c r="C12" s="241">
        <v>2650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679700</v>
      </c>
      <c r="C13" s="232">
        <f>SUM(C10:C12)</f>
        <v>282320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188028</v>
      </c>
      <c r="C18" s="230">
        <f>'DOE25'!G197+'DOE25'!G215+'DOE25'!G233+'DOE25'!G276+'DOE25'!G295+'DOE25'!G314</f>
        <v>101982</v>
      </c>
    </row>
    <row r="19" spans="1:3">
      <c r="A19" t="s">
        <v>779</v>
      </c>
      <c r="B19" s="241">
        <f>188028-78653</f>
        <v>109375</v>
      </c>
      <c r="C19" s="241">
        <f>101982-49010</f>
        <v>52972</v>
      </c>
    </row>
    <row r="20" spans="1:3">
      <c r="A20" t="s">
        <v>780</v>
      </c>
      <c r="B20" s="241">
        <f>78653</f>
        <v>78653</v>
      </c>
      <c r="C20" s="241">
        <v>49010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188028</v>
      </c>
      <c r="C22" s="232">
        <f>SUM(C19:C21)</f>
        <v>101982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31522</v>
      </c>
      <c r="C36" s="236">
        <f>'DOE25'!G199+'DOE25'!G217+'DOE25'!G235+'DOE25'!G278+'DOE25'!G297+'DOE25'!G316</f>
        <v>11083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>
        <v>31522</v>
      </c>
      <c r="C38" s="241">
        <v>11083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31522</v>
      </c>
      <c r="C40" s="232">
        <f>SUM(C37:C39)</f>
        <v>11083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Cornish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2465117</v>
      </c>
      <c r="D5" s="20">
        <f>SUM('DOE25'!L196:L199)+SUM('DOE25'!L214:L217)+SUM('DOE25'!L232:L235)-F5-G5</f>
        <v>2461815</v>
      </c>
      <c r="E5" s="244"/>
      <c r="F5" s="256">
        <f>SUM('DOE25'!J196:J199)+SUM('DOE25'!J214:J217)+SUM('DOE25'!J232:J235)</f>
        <v>3222</v>
      </c>
      <c r="G5" s="53">
        <f>SUM('DOE25'!K196:K199)+SUM('DOE25'!K214:K217)+SUM('DOE25'!K232:K235)</f>
        <v>80</v>
      </c>
      <c r="H5" s="260"/>
    </row>
    <row r="6" spans="1:9">
      <c r="A6" s="32">
        <v>2100</v>
      </c>
      <c r="B6" t="s">
        <v>801</v>
      </c>
      <c r="C6" s="246">
        <f t="shared" si="0"/>
        <v>83892</v>
      </c>
      <c r="D6" s="20">
        <f>'DOE25'!L201+'DOE25'!L219+'DOE25'!L237-F6-G6</f>
        <v>83892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56010</v>
      </c>
      <c r="D7" s="20">
        <f>'DOE25'!L202+'DOE25'!L220+'DOE25'!L238-F7-G7</f>
        <v>56010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114270</v>
      </c>
      <c r="D8" s="244"/>
      <c r="E8" s="20">
        <f>'DOE25'!L203+'DOE25'!L221+'DOE25'!L239-F8-G8-D9-D11</f>
        <v>111809</v>
      </c>
      <c r="F8" s="256">
        <f>'DOE25'!J203+'DOE25'!J221+'DOE25'!J239</f>
        <v>0</v>
      </c>
      <c r="G8" s="53">
        <f>'DOE25'!K203+'DOE25'!K221+'DOE25'!K239</f>
        <v>2461</v>
      </c>
      <c r="H8" s="260"/>
    </row>
    <row r="9" spans="1:9">
      <c r="A9" s="32">
        <v>2310</v>
      </c>
      <c r="B9" t="s">
        <v>818</v>
      </c>
      <c r="C9" s="246">
        <f t="shared" si="0"/>
        <v>21872</v>
      </c>
      <c r="D9" s="245">
        <f>200+30+15+573+14+60+6054+9814+967+950+125+609+2461</f>
        <v>21872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9814</v>
      </c>
      <c r="D10" s="244"/>
      <c r="E10" s="245">
        <v>9814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38860</v>
      </c>
      <c r="D11" s="245">
        <v>38860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162795</v>
      </c>
      <c r="D12" s="20">
        <f>'DOE25'!L204+'DOE25'!L222+'DOE25'!L240-F12-G12</f>
        <v>161723</v>
      </c>
      <c r="E12" s="244"/>
      <c r="F12" s="256">
        <f>'DOE25'!J204+'DOE25'!J222+'DOE25'!J240</f>
        <v>0</v>
      </c>
      <c r="G12" s="53">
        <f>'DOE25'!K204+'DOE25'!K222+'DOE25'!K240</f>
        <v>1072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235833</v>
      </c>
      <c r="D14" s="20">
        <f>'DOE25'!L206+'DOE25'!L224+'DOE25'!L242-F14-G14</f>
        <v>235833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156000</v>
      </c>
      <c r="D15" s="20">
        <f>'DOE25'!L207+'DOE25'!L225+'DOE25'!L243-F15-G15</f>
        <v>156000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58021</v>
      </c>
      <c r="D25" s="244"/>
      <c r="E25" s="244"/>
      <c r="F25" s="259"/>
      <c r="G25" s="257"/>
      <c r="H25" s="258">
        <f>'DOE25'!L259+'DOE25'!L260+'DOE25'!L340+'DOE25'!L341</f>
        <v>58021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50059</v>
      </c>
      <c r="D29" s="20">
        <f>'DOE25'!L357+'DOE25'!L358+'DOE25'!L359-'DOE25'!I366-F29-G29</f>
        <v>50059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61245</v>
      </c>
      <c r="D31" s="20">
        <f>'DOE25'!L289+'DOE25'!L308+'DOE25'!L327+'DOE25'!L332+'DOE25'!L333+'DOE25'!L334-F31-G31</f>
        <v>60829</v>
      </c>
      <c r="E31" s="244"/>
      <c r="F31" s="256">
        <f>'DOE25'!J289+'DOE25'!J308+'DOE25'!J327+'DOE25'!J332+'DOE25'!J333+'DOE25'!J334</f>
        <v>-360</v>
      </c>
      <c r="G31" s="53">
        <f>'DOE25'!K289+'DOE25'!K308+'DOE25'!K327+'DOE25'!K332+'DOE25'!K333+'DOE25'!K334</f>
        <v>776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3326893</v>
      </c>
      <c r="E33" s="247">
        <f>SUM(E5:E31)</f>
        <v>121623</v>
      </c>
      <c r="F33" s="247">
        <f>SUM(F5:F31)</f>
        <v>2862</v>
      </c>
      <c r="G33" s="247">
        <f>SUM(G5:G31)</f>
        <v>4389</v>
      </c>
      <c r="H33" s="247">
        <f>SUM(H5:H31)</f>
        <v>58021</v>
      </c>
    </row>
    <row r="35" spans="2:8" ht="12" thickBot="1">
      <c r="B35" s="254" t="s">
        <v>847</v>
      </c>
      <c r="D35" s="255">
        <f>E33</f>
        <v>121623</v>
      </c>
      <c r="E35" s="250"/>
    </row>
    <row r="36" spans="2:8" ht="12" thickTop="1">
      <c r="B36" t="s">
        <v>815</v>
      </c>
      <c r="D36" s="20">
        <f>D33</f>
        <v>3326893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Cornish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58597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128259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2267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64656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123253</v>
      </c>
      <c r="D18" s="41">
        <f>SUM(D8:D17)</f>
        <v>2267</v>
      </c>
      <c r="E18" s="41">
        <f>SUM(E8:E17)</f>
        <v>0</v>
      </c>
      <c r="F18" s="41">
        <f>SUM(F8:F17)</f>
        <v>0</v>
      </c>
      <c r="G18" s="41">
        <f>SUM(G8:G17)</f>
        <v>128259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31014</v>
      </c>
      <c r="D21" s="95">
        <f>'DOE25'!G22</f>
        <v>11684</v>
      </c>
      <c r="E21" s="95">
        <f>'DOE25'!H22</f>
        <v>-43568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-441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30573</v>
      </c>
      <c r="D31" s="41">
        <f>SUM(D21:D30)</f>
        <v>11684</v>
      </c>
      <c r="E31" s="41">
        <f>SUM(E21:E30)</f>
        <v>-43568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-9417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15289</v>
      </c>
      <c r="D46" s="95">
        <f>'DOE25'!G47</f>
        <v>0</v>
      </c>
      <c r="E46" s="95">
        <f>'DOE25'!H47</f>
        <v>43568</v>
      </c>
      <c r="F46" s="95">
        <f>'DOE25'!I47</f>
        <v>0</v>
      </c>
      <c r="G46" s="95">
        <f>'DOE25'!J47</f>
        <v>128259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5118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72273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92680</v>
      </c>
      <c r="D49" s="41">
        <f>SUM(D34:D48)</f>
        <v>-9417</v>
      </c>
      <c r="E49" s="41">
        <f>SUM(E34:E48)</f>
        <v>43568</v>
      </c>
      <c r="F49" s="41">
        <f>SUM(F34:F48)</f>
        <v>0</v>
      </c>
      <c r="G49" s="41">
        <f>SUM(G34:G48)</f>
        <v>128259</v>
      </c>
      <c r="H49" s="124"/>
      <c r="I49" s="124"/>
    </row>
    <row r="50" spans="1:9" ht="12" thickTop="1">
      <c r="A50" s="38" t="s">
        <v>895</v>
      </c>
      <c r="B50" s="2"/>
      <c r="C50" s="41">
        <f>C49+C31</f>
        <v>123253</v>
      </c>
      <c r="D50" s="41">
        <f>D49+D31</f>
        <v>2267</v>
      </c>
      <c r="E50" s="41">
        <f>E49+E31</f>
        <v>0</v>
      </c>
      <c r="F50" s="41">
        <f>F49+F31</f>
        <v>0</v>
      </c>
      <c r="G50" s="41">
        <f>G49+G31</f>
        <v>128259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2211635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41888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1338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19424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4123</v>
      </c>
      <c r="D60" s="95">
        <f>SUM('DOE25'!G97:G109)</f>
        <v>3417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5461</v>
      </c>
      <c r="D61" s="130">
        <f>SUM(D56:D60)</f>
        <v>22841</v>
      </c>
      <c r="E61" s="130">
        <f>SUM(E56:E60)</f>
        <v>41888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2217096</v>
      </c>
      <c r="D62" s="22">
        <f>D55+D61</f>
        <v>22841</v>
      </c>
      <c r="E62" s="22">
        <f>E55+E61</f>
        <v>41888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742310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402843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643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1145796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17627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611</v>
      </c>
      <c r="E76" s="95">
        <f>SUM('DOE25'!H130:H134)</f>
        <v>257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17627</v>
      </c>
      <c r="D77" s="130">
        <f>SUM(D71:D76)</f>
        <v>611</v>
      </c>
      <c r="E77" s="130">
        <f>SUM(E71:E76)</f>
        <v>257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1163423</v>
      </c>
      <c r="D80" s="130">
        <f>SUM(D78:D79)+D77+D69</f>
        <v>611</v>
      </c>
      <c r="E80" s="130">
        <f>SUM(E78:E79)+E77+E69</f>
        <v>257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6514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15366</v>
      </c>
      <c r="D87" s="95">
        <f>SUM('DOE25'!G152:G160)</f>
        <v>12789</v>
      </c>
      <c r="E87" s="95">
        <f>SUM('DOE25'!H152:H160)</f>
        <v>10390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15366</v>
      </c>
      <c r="D90" s="131">
        <f>SUM(D84:D89)</f>
        <v>12789</v>
      </c>
      <c r="E90" s="131">
        <f>SUM(E84:E89)</f>
        <v>16904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28000</v>
      </c>
      <c r="E95" s="95">
        <f>'DOE25'!H178</f>
        <v>0</v>
      </c>
      <c r="F95" s="95">
        <f>'DOE25'!I178</f>
        <v>0</v>
      </c>
      <c r="G95" s="95">
        <f>'DOE25'!J178</f>
        <v>9000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1488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43000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44488</v>
      </c>
      <c r="D102" s="86">
        <f>SUM(D92:D101)</f>
        <v>28000</v>
      </c>
      <c r="E102" s="86">
        <f>SUM(E92:E101)</f>
        <v>0</v>
      </c>
      <c r="F102" s="86">
        <f>SUM(F92:F101)</f>
        <v>0</v>
      </c>
      <c r="G102" s="86">
        <f>SUM(G92:G101)</f>
        <v>9000</v>
      </c>
    </row>
    <row r="103" spans="1:7" ht="12.75" thickTop="1" thickBot="1">
      <c r="A103" s="33" t="s">
        <v>765</v>
      </c>
      <c r="C103" s="86">
        <f>C62+C80+C90+C102</f>
        <v>3440373</v>
      </c>
      <c r="D103" s="86">
        <f>D62+D80+D90+D102</f>
        <v>64241</v>
      </c>
      <c r="E103" s="86">
        <f>E62+E80+E90+E102</f>
        <v>59049</v>
      </c>
      <c r="F103" s="86">
        <f>F62+F80+F90+F102</f>
        <v>0</v>
      </c>
      <c r="G103" s="86">
        <f>G62+G80+G102</f>
        <v>9000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2046897</v>
      </c>
      <c r="D108" s="24" t="s">
        <v>289</v>
      </c>
      <c r="E108" s="95">
        <f>('DOE25'!L275)+('DOE25'!L294)+('DOE25'!L313)</f>
        <v>4051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411612</v>
      </c>
      <c r="D109" s="24" t="s">
        <v>289</v>
      </c>
      <c r="E109" s="95">
        <f>('DOE25'!L276)+('DOE25'!L295)+('DOE25'!L314)</f>
        <v>8698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6608</v>
      </c>
      <c r="D111" s="24" t="s">
        <v>289</v>
      </c>
      <c r="E111" s="95">
        <f>+('DOE25'!L278)+('DOE25'!L297)+('DOE25'!L316)</f>
        <v>44090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2465117</v>
      </c>
      <c r="D114" s="86">
        <f>SUM(D108:D113)</f>
        <v>0</v>
      </c>
      <c r="E114" s="86">
        <f>SUM(E108:E113)</f>
        <v>56839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83892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56010</v>
      </c>
      <c r="D118" s="24" t="s">
        <v>289</v>
      </c>
      <c r="E118" s="95">
        <f>+('DOE25'!L281)+('DOE25'!L300)+('DOE25'!L319)</f>
        <v>4406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175002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162795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235833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156000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65133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869532</v>
      </c>
      <c r="D127" s="86">
        <f>SUM(D117:D126)</f>
        <v>65133</v>
      </c>
      <c r="E127" s="86">
        <f>SUM(E117:E126)</f>
        <v>4406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51111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6910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1488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28000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9000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95021</v>
      </c>
      <c r="D143" s="141">
        <f>SUM(D129:D142)</f>
        <v>0</v>
      </c>
      <c r="E143" s="141">
        <f>SUM(E129:E142)</f>
        <v>0</v>
      </c>
      <c r="F143" s="141">
        <f>SUM(F129:F142)</f>
        <v>1488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3429670</v>
      </c>
      <c r="D144" s="86">
        <f>(D114+D127+D143)</f>
        <v>65133</v>
      </c>
      <c r="E144" s="86">
        <f>(E114+E127+E143)</f>
        <v>61245</v>
      </c>
      <c r="F144" s="86">
        <f>(F114+F127+F143)</f>
        <v>1488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9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07/15/11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07/15/19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460000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2.9899999999999999E-2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460000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460000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51111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51111</v>
      </c>
    </row>
    <row r="158" spans="1:9">
      <c r="A158" s="22" t="s">
        <v>35</v>
      </c>
      <c r="B158" s="137">
        <f>'DOE25'!F497</f>
        <v>408889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408889</v>
      </c>
    </row>
    <row r="159" spans="1:9">
      <c r="A159" s="22" t="s">
        <v>36</v>
      </c>
      <c r="B159" s="137">
        <f>'DOE25'!F498</f>
        <v>56198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56198</v>
      </c>
    </row>
    <row r="160" spans="1:9">
      <c r="A160" s="22" t="s">
        <v>37</v>
      </c>
      <c r="B160" s="137">
        <f>'DOE25'!F499</f>
        <v>465087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465087</v>
      </c>
    </row>
    <row r="161" spans="1:7">
      <c r="A161" s="22" t="s">
        <v>38</v>
      </c>
      <c r="B161" s="137">
        <f>'DOE25'!F500</f>
        <v>51111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51111</v>
      </c>
    </row>
    <row r="162" spans="1:7">
      <c r="A162" s="22" t="s">
        <v>39</v>
      </c>
      <c r="B162" s="137">
        <f>'DOE25'!F501</f>
        <v>11489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11489</v>
      </c>
    </row>
    <row r="163" spans="1:7">
      <c r="A163" s="22" t="s">
        <v>246</v>
      </c>
      <c r="B163" s="137">
        <f>'DOE25'!F502</f>
        <v>62600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62600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C7" sqref="C7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Cornish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18231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18231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2050948</v>
      </c>
      <c r="D10" s="182">
        <f>ROUND((C10/$C$28)*100,1)</f>
        <v>59.5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420310</v>
      </c>
      <c r="D11" s="182">
        <f>ROUND((C11/$C$28)*100,1)</f>
        <v>12.2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50698</v>
      </c>
      <c r="D13" s="182">
        <f>ROUND((C13/$C$28)*100,1)</f>
        <v>1.5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83892</v>
      </c>
      <c r="D15" s="182">
        <f t="shared" ref="D15:D27" si="0">ROUND((C15/$C$28)*100,1)</f>
        <v>2.4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60416</v>
      </c>
      <c r="D16" s="182">
        <f t="shared" si="0"/>
        <v>1.8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175002</v>
      </c>
      <c r="D17" s="182">
        <f t="shared" si="0"/>
        <v>5.0999999999999996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162795</v>
      </c>
      <c r="D18" s="182">
        <f t="shared" si="0"/>
        <v>4.7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235833</v>
      </c>
      <c r="D20" s="182">
        <f t="shared" si="0"/>
        <v>6.8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156000</v>
      </c>
      <c r="D21" s="182">
        <f t="shared" si="0"/>
        <v>4.5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6910</v>
      </c>
      <c r="D25" s="182">
        <f t="shared" si="0"/>
        <v>0.2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42292</v>
      </c>
      <c r="D27" s="182">
        <f t="shared" si="0"/>
        <v>1.2</v>
      </c>
    </row>
    <row r="28" spans="1:4">
      <c r="B28" s="187" t="s">
        <v>723</v>
      </c>
      <c r="C28" s="180">
        <f>SUM(C10:C27)</f>
        <v>3445096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3445096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51111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2211635</v>
      </c>
      <c r="D35" s="182">
        <f t="shared" ref="D35:D40" si="1">ROUND((C35/$C$41)*100,1)</f>
        <v>63.8</v>
      </c>
    </row>
    <row r="36" spans="1:4">
      <c r="B36" s="185" t="s">
        <v>743</v>
      </c>
      <c r="C36" s="179">
        <f>SUM('DOE25'!F111:J111)-SUM('DOE25'!G96:G109)+('DOE25'!F173+'DOE25'!F174+'DOE25'!I173+'DOE25'!I174)-C35</f>
        <v>47349</v>
      </c>
      <c r="D36" s="182">
        <f t="shared" si="1"/>
        <v>1.4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1145796</v>
      </c>
      <c r="D37" s="182">
        <f t="shared" si="1"/>
        <v>33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18495</v>
      </c>
      <c r="D38" s="182">
        <f t="shared" si="1"/>
        <v>0.5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45059</v>
      </c>
      <c r="D39" s="182">
        <f t="shared" si="1"/>
        <v>1.3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3468334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Cornish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BP40:BZ40"/>
    <mergeCell ref="FC40:FM40"/>
    <mergeCell ref="FP40:FZ40"/>
    <mergeCell ref="CC40:CM40"/>
    <mergeCell ref="CC39:CM39"/>
    <mergeCell ref="CP39:CZ39"/>
    <mergeCell ref="DP39:DZ39"/>
    <mergeCell ref="P39:Z39"/>
    <mergeCell ref="AC39:AM39"/>
    <mergeCell ref="DP40:DZ40"/>
    <mergeCell ref="AC40:AM40"/>
    <mergeCell ref="CP40:CZ40"/>
    <mergeCell ref="DC40:DM40"/>
    <mergeCell ref="DC39:DM39"/>
    <mergeCell ref="EP40:EZ40"/>
    <mergeCell ref="EC40:EM40"/>
    <mergeCell ref="BC40:BM40"/>
    <mergeCell ref="P40:Z40"/>
    <mergeCell ref="EP39:EZ39"/>
    <mergeCell ref="FC39:FM39"/>
    <mergeCell ref="FP39:FZ39"/>
    <mergeCell ref="GP39:GZ39"/>
    <mergeCell ref="IC39:IM39"/>
    <mergeCell ref="HP39:HZ39"/>
    <mergeCell ref="HC39:HM39"/>
    <mergeCell ref="EC39:EM39"/>
    <mergeCell ref="GC39:GM39"/>
    <mergeCell ref="IP40:IV40"/>
    <mergeCell ref="GC38:GM38"/>
    <mergeCell ref="GP38:GZ38"/>
    <mergeCell ref="HC38:HM38"/>
    <mergeCell ref="HP38:HZ38"/>
    <mergeCell ref="IC38:IM38"/>
    <mergeCell ref="IP38:IV38"/>
    <mergeCell ref="IC40:IM40"/>
    <mergeCell ref="GP40:GZ40"/>
    <mergeCell ref="HC40:HM40"/>
    <mergeCell ref="IP39:IV39"/>
    <mergeCell ref="GC40:GM40"/>
    <mergeCell ref="HP40:HZ40"/>
    <mergeCell ref="HP32:HZ32"/>
    <mergeCell ref="IC32:IM32"/>
    <mergeCell ref="IP32:IV32"/>
    <mergeCell ref="FC32:FM32"/>
    <mergeCell ref="DP31:DZ31"/>
    <mergeCell ref="EC31:EM31"/>
    <mergeCell ref="HC32:HM32"/>
    <mergeCell ref="EP32:EZ32"/>
    <mergeCell ref="HP31:HZ31"/>
    <mergeCell ref="IC31:IM31"/>
    <mergeCell ref="GP32:GZ32"/>
    <mergeCell ref="DP32:DZ32"/>
    <mergeCell ref="EC32:EM32"/>
    <mergeCell ref="FP32:FZ32"/>
    <mergeCell ref="GC32:GM32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1:EZ31"/>
    <mergeCell ref="FC31:FM31"/>
    <mergeCell ref="FP31:FZ31"/>
    <mergeCell ref="GC31:GM31"/>
    <mergeCell ref="GP30:GZ30"/>
    <mergeCell ref="HC30:HM30"/>
    <mergeCell ref="GP31:GZ31"/>
    <mergeCell ref="HC31:HM31"/>
    <mergeCell ref="EP30:EZ30"/>
    <mergeCell ref="FC30:FM30"/>
    <mergeCell ref="CP38:CZ38"/>
    <mergeCell ref="DC32:DM32"/>
    <mergeCell ref="IP31:IV31"/>
    <mergeCell ref="CP32:CZ32"/>
    <mergeCell ref="CP30:CZ30"/>
    <mergeCell ref="BP32:BZ32"/>
    <mergeCell ref="BC38:BM38"/>
    <mergeCell ref="AP32:AZ32"/>
    <mergeCell ref="P31:Z31"/>
    <mergeCell ref="FP30:FZ30"/>
    <mergeCell ref="GC30:GM30"/>
    <mergeCell ref="DC30:DM30"/>
    <mergeCell ref="CC31:CM31"/>
    <mergeCell ref="CP31:CZ31"/>
    <mergeCell ref="DC31:DM31"/>
    <mergeCell ref="AC38:AM38"/>
    <mergeCell ref="AP38:AZ38"/>
    <mergeCell ref="BP38:BZ38"/>
    <mergeCell ref="CC38:CM38"/>
    <mergeCell ref="CC32:CM32"/>
    <mergeCell ref="DC38:DM38"/>
    <mergeCell ref="DP38:DZ38"/>
    <mergeCell ref="EC38:EM38"/>
    <mergeCell ref="EP38:EZ38"/>
    <mergeCell ref="FC38:FM38"/>
    <mergeCell ref="FP38:FZ38"/>
    <mergeCell ref="BC30:BM30"/>
    <mergeCell ref="BP30:BZ30"/>
    <mergeCell ref="AC31:AM31"/>
    <mergeCell ref="AP39:AZ39"/>
    <mergeCell ref="AP31:AZ31"/>
    <mergeCell ref="AC32:AM32"/>
    <mergeCell ref="P38:Z38"/>
    <mergeCell ref="P32:Z32"/>
    <mergeCell ref="CC30:CM30"/>
    <mergeCell ref="BP39:BZ3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P29:Z29"/>
    <mergeCell ref="EC29:EM29"/>
    <mergeCell ref="C32:M32"/>
    <mergeCell ref="GP29:GZ29"/>
    <mergeCell ref="HC29:HM29"/>
    <mergeCell ref="EP29:EZ29"/>
    <mergeCell ref="FC29:FM29"/>
    <mergeCell ref="FP29:FZ29"/>
    <mergeCell ref="GC29:GM29"/>
    <mergeCell ref="CP29:CZ29"/>
    <mergeCell ref="DC29:DM29"/>
    <mergeCell ref="DP29:DZ29"/>
    <mergeCell ref="C33:M33"/>
    <mergeCell ref="C37:M37"/>
    <mergeCell ref="C38:M38"/>
    <mergeCell ref="C39:M39"/>
    <mergeCell ref="AC29:AM29"/>
    <mergeCell ref="AP29:AZ29"/>
    <mergeCell ref="C29:M29"/>
    <mergeCell ref="C27:M27"/>
    <mergeCell ref="BC29:BM29"/>
    <mergeCell ref="BP29:BZ29"/>
    <mergeCell ref="CC29:CM29"/>
    <mergeCell ref="C9:M9"/>
    <mergeCell ref="C10:M10"/>
    <mergeCell ref="C11:M11"/>
    <mergeCell ref="C12:M12"/>
    <mergeCell ref="C28:M28"/>
    <mergeCell ref="C24:M24"/>
    <mergeCell ref="C25:M25"/>
    <mergeCell ref="A1:I1"/>
    <mergeCell ref="C3:M3"/>
    <mergeCell ref="C4:M4"/>
    <mergeCell ref="F2:I2"/>
    <mergeCell ref="A2:E2"/>
    <mergeCell ref="C8:M8"/>
    <mergeCell ref="C30:M30"/>
    <mergeCell ref="C31:M31"/>
    <mergeCell ref="C13:M13"/>
    <mergeCell ref="C5:M5"/>
    <mergeCell ref="C6:M6"/>
    <mergeCell ref="C7:M7"/>
    <mergeCell ref="C14:M14"/>
    <mergeCell ref="C15:M15"/>
    <mergeCell ref="C16:M16"/>
    <mergeCell ref="C17:M17"/>
    <mergeCell ref="C20:M20"/>
    <mergeCell ref="C22:M22"/>
    <mergeCell ref="C23:M23"/>
    <mergeCell ref="C21:M21"/>
    <mergeCell ref="C63:M63"/>
    <mergeCell ref="C64:M64"/>
    <mergeCell ref="C59:M59"/>
    <mergeCell ref="C60:M60"/>
    <mergeCell ref="C58:M58"/>
    <mergeCell ref="C52:M52"/>
    <mergeCell ref="C26:M26"/>
    <mergeCell ref="C55:M55"/>
    <mergeCell ref="C56:M56"/>
    <mergeCell ref="C57:M57"/>
    <mergeCell ref="C50:M50"/>
    <mergeCell ref="C47:M47"/>
    <mergeCell ref="C48:M48"/>
    <mergeCell ref="C49:M49"/>
    <mergeCell ref="C51:M51"/>
    <mergeCell ref="C45:M45"/>
    <mergeCell ref="C46:M46"/>
    <mergeCell ref="C44:M44"/>
    <mergeCell ref="C40:M40"/>
    <mergeCell ref="C43:M43"/>
    <mergeCell ref="C34:M34"/>
    <mergeCell ref="C35:M35"/>
    <mergeCell ref="C36:M36"/>
    <mergeCell ref="C61:M61"/>
    <mergeCell ref="C53:M53"/>
    <mergeCell ref="C54:M54"/>
    <mergeCell ref="C18:M18"/>
    <mergeCell ref="C19:M19"/>
    <mergeCell ref="C62:M62"/>
    <mergeCell ref="C70:M70"/>
    <mergeCell ref="A72:E72"/>
    <mergeCell ref="C73:M73"/>
    <mergeCell ref="C74:M74"/>
    <mergeCell ref="C66:M66"/>
    <mergeCell ref="C67:M67"/>
    <mergeCell ref="C68:M68"/>
    <mergeCell ref="C69:M69"/>
    <mergeCell ref="C65:M65"/>
    <mergeCell ref="C79:M79"/>
    <mergeCell ref="C80:M80"/>
    <mergeCell ref="C81:M81"/>
    <mergeCell ref="C82:M82"/>
    <mergeCell ref="C75:M75"/>
    <mergeCell ref="C76:M76"/>
    <mergeCell ref="C77:M77"/>
    <mergeCell ref="C78:M78"/>
    <mergeCell ref="C90:M90"/>
    <mergeCell ref="C83:M83"/>
    <mergeCell ref="C84:M84"/>
    <mergeCell ref="C85:M85"/>
    <mergeCell ref="C86:M86"/>
    <mergeCell ref="C87:M87"/>
    <mergeCell ref="C88:M88"/>
    <mergeCell ref="C89:M8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2012-09-04T12:28:25Z</cp:lastPrinted>
  <dcterms:created xsi:type="dcterms:W3CDTF">1997-12-04T19:04:30Z</dcterms:created>
  <dcterms:modified xsi:type="dcterms:W3CDTF">2012-11-21T14:25:28Z</dcterms:modified>
</cp:coreProperties>
</file>