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C11" i="12" l="1"/>
  <c r="B19" i="12"/>
  <c r="H318" i="1"/>
  <c r="I603" i="1"/>
  <c r="H590" i="1"/>
  <c r="H542" i="1"/>
  <c r="H541" i="1"/>
  <c r="H540" i="1"/>
  <c r="I593" i="1"/>
  <c r="G526" i="1"/>
  <c r="G525" i="1"/>
  <c r="F526" i="1"/>
  <c r="F525" i="1"/>
  <c r="I521" i="1"/>
  <c r="I526" i="1"/>
  <c r="I520" i="1"/>
  <c r="I525" i="1"/>
  <c r="H526" i="1"/>
  <c r="H525" i="1"/>
  <c r="G527" i="1"/>
  <c r="F527" i="1"/>
  <c r="H527" i="1"/>
  <c r="G566" i="1"/>
  <c r="H522" i="1" l="1"/>
  <c r="H521" i="1"/>
  <c r="H520" i="1"/>
  <c r="F521" i="1"/>
  <c r="F520" i="1"/>
  <c r="I222" i="1" l="1"/>
  <c r="I220" i="1"/>
  <c r="I208" i="1"/>
  <c r="I226" i="1"/>
  <c r="I224" i="1"/>
  <c r="H224" i="1"/>
  <c r="I206" i="1"/>
  <c r="H206" i="1"/>
  <c r="G204" i="1"/>
  <c r="G222" i="1"/>
  <c r="H222" i="1"/>
  <c r="H203" i="1"/>
  <c r="H221" i="1"/>
  <c r="H220" i="1"/>
  <c r="H202" i="1"/>
  <c r="G202" i="1"/>
  <c r="H219" i="1"/>
  <c r="H201" i="1"/>
  <c r="I197" i="1"/>
  <c r="I196" i="1"/>
  <c r="H214" i="1"/>
  <c r="H196" i="1"/>
  <c r="G196" i="1"/>
  <c r="G214" i="1"/>
  <c r="H232" i="1"/>
  <c r="H197" i="1"/>
  <c r="H215" i="1"/>
  <c r="H237" i="1"/>
  <c r="F214" i="1"/>
  <c r="F196" i="1"/>
  <c r="F215" i="1"/>
  <c r="F197" i="1"/>
  <c r="G215" i="1"/>
  <c r="I215" i="1"/>
  <c r="G197" i="1"/>
  <c r="I217" i="1"/>
  <c r="H217" i="1"/>
  <c r="G217" i="1"/>
  <c r="G199" i="1"/>
  <c r="I219" i="1"/>
  <c r="G219" i="1"/>
  <c r="I201" i="1"/>
  <c r="G201" i="1"/>
  <c r="G220" i="1"/>
  <c r="K220" i="1"/>
  <c r="K202" i="1"/>
  <c r="J202" i="1"/>
  <c r="I202" i="1"/>
  <c r="H204" i="1"/>
  <c r="G224" i="1"/>
  <c r="G206" i="1"/>
  <c r="F206" i="1"/>
  <c r="F224" i="1"/>
  <c r="F202" i="1"/>
  <c r="F220" i="1"/>
  <c r="F219" i="1"/>
  <c r="F201" i="1"/>
  <c r="H250" i="1"/>
  <c r="F217" i="1"/>
  <c r="F199" i="1"/>
  <c r="F109" i="1"/>
  <c r="F62" i="1"/>
  <c r="F47" i="1"/>
  <c r="F366" i="1"/>
  <c r="I357" i="1"/>
  <c r="H358" i="1"/>
  <c r="H357" i="1"/>
  <c r="G358" i="1"/>
  <c r="G357" i="1"/>
  <c r="I358" i="1"/>
  <c r="G367" i="1"/>
  <c r="F367" i="1"/>
  <c r="G366" i="1"/>
  <c r="H471" i="1"/>
  <c r="H467" i="1"/>
  <c r="H464" i="1"/>
  <c r="H158" i="1" l="1"/>
  <c r="H154" i="1"/>
  <c r="F332" i="1" l="1"/>
  <c r="G332" i="1"/>
  <c r="H332" i="1"/>
  <c r="K332" i="1"/>
  <c r="I332" i="1"/>
  <c r="G157" i="1"/>
  <c r="G1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C21" i="10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 s="1"/>
  <c r="G62" i="2" s="1"/>
  <c r="G58" i="2"/>
  <c r="G60" i="2"/>
  <c r="F2" i="11"/>
  <c r="L612" i="1"/>
  <c r="H662" i="1"/>
  <c r="L611" i="1"/>
  <c r="G662" i="1"/>
  <c r="L610" i="1"/>
  <c r="F662" i="1"/>
  <c r="I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7" i="10"/>
  <c r="C19" i="10"/>
  <c r="C20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F660" i="1"/>
  <c r="G660" i="1"/>
  <c r="H660" i="1"/>
  <c r="F661" i="1"/>
  <c r="G661" i="1"/>
  <c r="I668" i="1"/>
  <c r="C6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C109" i="2"/>
  <c r="E109" i="2"/>
  <c r="C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 s="1"/>
  <c r="E133" i="2"/>
  <c r="F133" i="2"/>
  <c r="K418" i="1"/>
  <c r="K426" i="1"/>
  <c r="K432" i="1"/>
  <c r="K433" i="1" s="1"/>
  <c r="G133" i="2" s="1"/>
  <c r="G143" i="2" s="1"/>
  <c r="G144" i="2" s="1"/>
  <c r="L262" i="1"/>
  <c r="C134" i="2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/>
  <c r="F19" i="1"/>
  <c r="G19" i="1"/>
  <c r="H19" i="1"/>
  <c r="I19" i="1"/>
  <c r="F32" i="1"/>
  <c r="G32" i="1"/>
  <c r="H32" i="1"/>
  <c r="I32" i="1"/>
  <c r="F50" i="1"/>
  <c r="G621" i="1" s="1"/>
  <c r="G50" i="1"/>
  <c r="H50" i="1"/>
  <c r="H51" i="1" s="1"/>
  <c r="H618" i="1" s="1"/>
  <c r="I50" i="1"/>
  <c r="I51" i="1" s="1"/>
  <c r="H619" i="1" s="1"/>
  <c r="F176" i="1"/>
  <c r="I176" i="1"/>
  <c r="I191" i="1" s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J641" i="1"/>
  <c r="H641" i="1"/>
  <c r="G642" i="1"/>
  <c r="H642" i="1"/>
  <c r="G643" i="1"/>
  <c r="H643" i="1"/>
  <c r="G644" i="1"/>
  <c r="H644" i="1"/>
  <c r="H646" i="1"/>
  <c r="G648" i="1"/>
  <c r="J648" i="1" s="1"/>
  <c r="G649" i="1"/>
  <c r="G651" i="1"/>
  <c r="H651" i="1"/>
  <c r="J651" i="1"/>
  <c r="G652" i="1"/>
  <c r="H652" i="1"/>
  <c r="J652" i="1" s="1"/>
  <c r="G653" i="1"/>
  <c r="H653" i="1"/>
  <c r="J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L289" i="1"/>
  <c r="F659" i="1" s="1"/>
  <c r="F663" i="1" s="1"/>
  <c r="C69" i="2"/>
  <c r="A40" i="12"/>
  <c r="D12" i="13"/>
  <c r="C12" i="13" s="1"/>
  <c r="G161" i="2"/>
  <c r="D61" i="2"/>
  <c r="D62" i="2" s="1"/>
  <c r="E49" i="2"/>
  <c r="D18" i="13"/>
  <c r="C18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80" i="2"/>
  <c r="F61" i="2"/>
  <c r="F62" i="2"/>
  <c r="D31" i="2"/>
  <c r="C127" i="2"/>
  <c r="C77" i="2"/>
  <c r="D49" i="2"/>
  <c r="D50" i="2" s="1"/>
  <c r="G156" i="2"/>
  <c r="F49" i="2"/>
  <c r="F50" i="2" s="1"/>
  <c r="F18" i="2"/>
  <c r="G162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80" i="2"/>
  <c r="E77" i="2"/>
  <c r="E80" i="2"/>
  <c r="F103" i="2"/>
  <c r="L426" i="1"/>
  <c r="L433" i="1" s="1"/>
  <c r="G637" i="1" s="1"/>
  <c r="J637" i="1" s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/>
  <c r="G475" i="1"/>
  <c r="H622" i="1" s="1"/>
  <c r="J622" i="1" s="1"/>
  <c r="C23" i="10"/>
  <c r="F168" i="1"/>
  <c r="J139" i="1"/>
  <c r="F570" i="1"/>
  <c r="H256" i="1"/>
  <c r="H270" i="1" s="1"/>
  <c r="G22" i="2"/>
  <c r="K544" i="1"/>
  <c r="C29" i="10"/>
  <c r="I660" i="1"/>
  <c r="H139" i="1"/>
  <c r="L400" i="1"/>
  <c r="C138" i="2" s="1"/>
  <c r="L392" i="1"/>
  <c r="F22" i="13"/>
  <c r="H25" i="13"/>
  <c r="C25" i="13" s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C35" i="10"/>
  <c r="L308" i="1"/>
  <c r="L337" i="1" s="1"/>
  <c r="L351" i="1" s="1"/>
  <c r="G632" i="1" s="1"/>
  <c r="J632" i="1" s="1"/>
  <c r="D5" i="13"/>
  <c r="C5" i="13" s="1"/>
  <c r="E16" i="13"/>
  <c r="J624" i="1"/>
  <c r="C49" i="2"/>
  <c r="J654" i="1"/>
  <c r="J644" i="1"/>
  <c r="I570" i="1"/>
  <c r="I544" i="1"/>
  <c r="G36" i="2"/>
  <c r="H192" i="1"/>
  <c r="G628" i="1" s="1"/>
  <c r="J628" i="1" s="1"/>
  <c r="L564" i="1"/>
  <c r="G544" i="1"/>
  <c r="C22" i="13"/>
  <c r="C137" i="2"/>
  <c r="C16" i="13"/>
  <c r="H33" i="13"/>
  <c r="F139" i="1" l="1"/>
  <c r="A13" i="12"/>
  <c r="A31" i="12"/>
  <c r="D15" i="13"/>
  <c r="C15" i="13" s="1"/>
  <c r="G650" i="1"/>
  <c r="H661" i="1"/>
  <c r="I661" i="1" s="1"/>
  <c r="L246" i="1"/>
  <c r="H659" i="1" s="1"/>
  <c r="H663" i="1" s="1"/>
  <c r="J649" i="1"/>
  <c r="J646" i="1"/>
  <c r="H544" i="1"/>
  <c r="L544" i="1"/>
  <c r="F544" i="1"/>
  <c r="L569" i="1"/>
  <c r="L570" i="1" s="1"/>
  <c r="G570" i="1"/>
  <c r="G163" i="2"/>
  <c r="G160" i="2"/>
  <c r="E110" i="2"/>
  <c r="E108" i="2"/>
  <c r="G337" i="1"/>
  <c r="G351" i="1" s="1"/>
  <c r="E114" i="2"/>
  <c r="C10" i="10"/>
  <c r="J337" i="1"/>
  <c r="J650" i="1"/>
  <c r="C15" i="10"/>
  <c r="C16" i="10"/>
  <c r="E33" i="13"/>
  <c r="D35" i="13" s="1"/>
  <c r="C18" i="10"/>
  <c r="C103" i="2"/>
  <c r="F192" i="1"/>
  <c r="G626" i="1" s="1"/>
  <c r="J626" i="1" s="1"/>
  <c r="C50" i="2"/>
  <c r="J621" i="1"/>
  <c r="F51" i="1"/>
  <c r="H616" i="1" s="1"/>
  <c r="J616" i="1" s="1"/>
  <c r="L361" i="1"/>
  <c r="C27" i="10"/>
  <c r="G634" i="1"/>
  <c r="J634" i="1"/>
  <c r="D144" i="2"/>
  <c r="G31" i="13"/>
  <c r="G33" i="13" s="1"/>
  <c r="G659" i="1"/>
  <c r="G663" i="1" s="1"/>
  <c r="G671" i="1" s="1"/>
  <c r="C5" i="10" s="1"/>
  <c r="A22" i="12"/>
  <c r="F31" i="13"/>
  <c r="F33" i="13" s="1"/>
  <c r="G21" i="2"/>
  <c r="G31" i="2" s="1"/>
  <c r="J32" i="1"/>
  <c r="I551" i="1"/>
  <c r="G551" i="1"/>
  <c r="K549" i="1"/>
  <c r="I192" i="1"/>
  <c r="G629" i="1" s="1"/>
  <c r="J629" i="1" s="1"/>
  <c r="J551" i="1"/>
  <c r="H551" i="1"/>
  <c r="K550" i="1"/>
  <c r="K548" i="1"/>
  <c r="F551" i="1"/>
  <c r="G103" i="2"/>
  <c r="C139" i="2"/>
  <c r="C140" i="2" s="1"/>
  <c r="L407" i="1"/>
  <c r="J618" i="1"/>
  <c r="E90" i="2"/>
  <c r="I337" i="1"/>
  <c r="I351" i="1" s="1"/>
  <c r="D80" i="2"/>
  <c r="G168" i="1"/>
  <c r="E103" i="2"/>
  <c r="C39" i="10"/>
  <c r="E144" i="2"/>
  <c r="F666" i="1"/>
  <c r="F671" i="1"/>
  <c r="C4" i="10" s="1"/>
  <c r="J351" i="1"/>
  <c r="H647" i="1"/>
  <c r="J647" i="1" s="1"/>
  <c r="C36" i="10"/>
  <c r="J192" i="1"/>
  <c r="G46" i="2"/>
  <c r="G49" i="2" s="1"/>
  <c r="G50" i="2" s="1"/>
  <c r="J50" i="1"/>
  <c r="G12" i="2"/>
  <c r="G18" i="2" s="1"/>
  <c r="J19" i="1"/>
  <c r="G620" i="1" s="1"/>
  <c r="D103" i="2"/>
  <c r="C38" i="10"/>
  <c r="G192" i="1"/>
  <c r="G627" i="1" s="1"/>
  <c r="J627" i="1" s="1"/>
  <c r="G51" i="1"/>
  <c r="H617" i="1" s="1"/>
  <c r="J617" i="1" s="1"/>
  <c r="L256" i="1" l="1"/>
  <c r="L270" i="1" s="1"/>
  <c r="G631" i="1" s="1"/>
  <c r="J631" i="1" s="1"/>
  <c r="D31" i="13"/>
  <c r="C31" i="13" s="1"/>
  <c r="C28" i="10"/>
  <c r="D23" i="10" s="1"/>
  <c r="I659" i="1"/>
  <c r="I663" i="1" s="1"/>
  <c r="I671" i="1" s="1"/>
  <c r="C7" i="10" s="1"/>
  <c r="D19" i="10"/>
  <c r="D20" i="10"/>
  <c r="D17" i="10"/>
  <c r="D11" i="10"/>
  <c r="D27" i="10"/>
  <c r="D16" i="10"/>
  <c r="D21" i="10"/>
  <c r="D13" i="10"/>
  <c r="G666" i="1"/>
  <c r="D33" i="13"/>
  <c r="D36" i="13" s="1"/>
  <c r="D25" i="10"/>
  <c r="D26" i="10"/>
  <c r="D10" i="10"/>
  <c r="G636" i="1"/>
  <c r="J636" i="1" s="1"/>
  <c r="H645" i="1"/>
  <c r="K551" i="1"/>
  <c r="C143" i="2"/>
  <c r="C144" i="2" s="1"/>
  <c r="H666" i="1"/>
  <c r="H671" i="1"/>
  <c r="G630" i="1"/>
  <c r="J630" i="1" s="1"/>
  <c r="G645" i="1"/>
  <c r="J645" i="1" s="1"/>
  <c r="G625" i="1"/>
  <c r="J51" i="1"/>
  <c r="H620" i="1" s="1"/>
  <c r="J620" i="1" s="1"/>
  <c r="C41" i="10"/>
  <c r="C30" i="10" l="1"/>
  <c r="D12" i="10"/>
  <c r="I666" i="1"/>
  <c r="D15" i="10"/>
  <c r="D24" i="10"/>
  <c r="D18" i="10"/>
  <c r="D22" i="10"/>
  <c r="J625" i="1"/>
  <c r="H655" i="1"/>
  <c r="D35" i="10"/>
  <c r="D39" i="10"/>
  <c r="D37" i="10"/>
  <c r="D36" i="10"/>
  <c r="D40" i="10"/>
  <c r="D38" i="10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<sst xmlns="http://schemas.openxmlformats.org/spreadsheetml/2006/main" count="3951" uniqueCount="916">
  <si>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</si>
  <si>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</si>
  <si>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</si>
  <si>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</si>
  <si>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</si>
  <si>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</si>
  <si>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</si>
  <si>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</si>
  <si>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</si>
  <si>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</si>
  <si>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</si>
  <si>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</si>
  <si>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</si>
  <si>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</si>
  <si>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</si>
  <si>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</si>
  <si>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</si>
  <si>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</si>
  <si>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</si>
  <si>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</si>
  <si>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</si>
  <si>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</si>
  <si>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</si>
  <si>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</si>
  <si>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</si>
  <si>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</si>
  <si>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</si>
  <si>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</si>
  <si>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</si>
  <si>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</si>
  <si>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</si>
  <si>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</si>
  <si>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</si>
  <si>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</si>
  <si>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</si>
  <si>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</si>
  <si>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</si>
  <si>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</si>
  <si>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</si>
  <si>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</si>
  <si>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</si>
  <si>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</si>
  <si>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</si>
  <si>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</si>
  <si>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</si>
  <si>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</si>
  <si>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</si>
  <si>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</si>
  <si>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</si>
  <si>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</si>
  <si>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</si>
  <si>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</si>
  <si>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</si>
  <si>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</si>
  <si>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</si>
  <si>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</si>
  <si>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</si>
  <si>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</si>
  <si>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</si>
  <si>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</si>
  <si>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</si>
  <si>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</si>
  <si>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</si>
  <si>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</si>
  <si>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</si>
  <si>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</si>
  <si>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</si>
  <si>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</si>
  <si>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</si>
  <si>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</si>
  <si>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</si>
  <si>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</si>
  <si>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</si>
  <si>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</si>
  <si>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</si>
  <si>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</si>
  <si>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</si>
  <si>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</si>
  <si>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</si>
  <si>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</si>
  <si>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</si>
  <si>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</si>
  <si>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</si>
  <si>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</si>
  <si>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</si>
  <si>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</si>
  <si>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</si>
  <si>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</si>
  <si>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</si>
  <si>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</si>
  <si>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</si>
  <si>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</si>
  <si>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</si>
  <si>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</si>
  <si>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</si>
  <si>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</si>
  <si>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</si>
  <si>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</si>
  <si>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</si>
  <si>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</si>
  <si>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</si>
  <si>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</si>
  <si>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</si>
  <si>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</si>
  <si>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</si>
  <si>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</si>
  <si>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</si>
  <si>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</si>
  <si>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</si>
  <si>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</si>
  <si>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</si>
  <si>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</si>
  <si>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</si>
  <si>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</si>
  <si>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</si>
  <si>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</si>
  <si>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</si>
  <si>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</si>
  <si>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</si>
  <si>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</si>
  <si>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</si>
  <si>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</si>
  <si>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</si>
  <si>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</si>
  <si>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</si>
  <si>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</si>
  <si>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</si>
  <si>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</si>
  <si>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</si>
  <si>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</si>
  <si>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</si>
  <si>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</si>
  <si>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</si>
  <si>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</si>
  <si>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</si>
  <si>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</si>
  <si>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</si>
  <si>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</si>
  <si>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</si>
  <si>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</si>
  <si>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</si>
  <si>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</si>
  <si>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</si>
  <si>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</si>
  <si>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</si>
  <si>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</si>
  <si>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</si>
  <si>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</si>
  <si>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</si>
  <si>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</si>
  <si>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</si>
  <si>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</si>
  <si>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</si>
  <si>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</si>
  <si>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</si>
  <si>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</si>
  <si>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</si>
  <si>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</si>
  <si>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</si>
  <si>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</si>
  <si>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</si>
  <si>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</si>
  <si>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</si>
  <si>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</si>
  <si>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</si>
  <si>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</si>
  <si>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</si>
  <si>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</si>
  <si>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</si>
  <si>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</si>
  <si>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</si>
  <si>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</si>
  <si>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</si>
  <si>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</si>
  <si>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</si>
  <si>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</si>
  <si>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</si>
  <si>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</si>
  <si>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</si>
  <si>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</si>
  <si>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</si>
  <si>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</si>
  <si>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</si>
  <si>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</si>
  <si>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</si>
  <si>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</si>
  <si>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</si>
  <si>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</si>
  <si>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</si>
  <si>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</si>
  <si>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</si>
  <si>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</si>
  <si>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</si>
  <si>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</si>
  <si>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</si>
  <si>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</si>
  <si>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</si>
  <si>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</si>
  <si>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</si>
  <si>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</si>
  <si>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</si>
  <si>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</si>
  <si>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</si>
  <si>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</si>
  <si>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</si>
  <si>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</si>
  <si>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</si>
  <si>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</si>
  <si>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</si>
  <si>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</si>
  <si>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</si>
  <si>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</si>
  <si>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</si>
  <si>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</si>
  <si>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</si>
  <si>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</si>
  <si>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</si>
  <si>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</si>
  <si>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</si>
  <si>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</si>
  <si>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</si>
  <si>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</si>
  <si>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</si>
  <si>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</si>
  <si>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</si>
  <si>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</si>
  <si>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</si>
  <si>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</si>
  <si>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</si>
  <si>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</si>
  <si>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</si>
  <si>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</si>
  <si>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</si>
  <si>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</si>
  <si>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</si>
  <si>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</si>
  <si>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</si>
  <si>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</si>
  <si>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</si>
  <si>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</si>
  <si>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</si>
  <si>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</si>
  <si>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</si>
  <si>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</si>
  <si>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</si>
  <si>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</si>
  <si>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</si>
  <si>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</si>
  <si>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</si>
  <si>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</si>
  <si>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</si>
  <si>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</si>
  <si>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</si>
  <si>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</si>
  <si>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</si>
  <si>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</si>
  <si>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</si>
  <si>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</si>
  <si>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</si>
  <si>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</si>
  <si>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</si>
  <si>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</si>
  <si>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</si>
  <si>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</si>
  <si>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</si>
  <si>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</si>
  <si>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</si>
  <si>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</si>
  <si>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</si>
  <si>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</si>
  <si>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</si>
  <si>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</si>
  <si>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</si>
  <si>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</si>
  <si>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</si>
  <si>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</si>
  <si>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</si>
  <si>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</si>
  <si>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</si>
  <si>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</si>
  <si>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</si>
  <si>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</si>
  <si>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</si>
  <si>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</si>
  <si>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</si>
  <si>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</si>
  <si>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</si>
  <si>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</si>
  <si>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</si>
  <si>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</si>
  <si>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</si>
  <si>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</si>
  <si>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</si>
  <si>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</si>
  <si>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</si>
  <si>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</si>
  <si>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</si>
  <si>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</si>
  <si>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</si>
  <si>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</si>
  <si>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</si>
  <si>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</si>
  <si>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</si>
  <si>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</si>
  <si>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</si>
  <si>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</si>
  <si>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</si>
  <si>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</si>
  <si>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</si>
  <si>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</si>
  <si>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</si>
  <si>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</si>
  <si>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</si>
  <si>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</si>
  <si>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</si>
  <si>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</si>
  <si>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</si>
  <si>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</si>
  <si>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</si>
  <si>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</si>
  <si>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</si>
  <si>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</si>
  <si>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</si>
  <si>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</si>
  <si>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</si>
  <si>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</si>
  <si>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</si>
  <si>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</si>
  <si>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</si>
  <si>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</si>
  <si>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</si>
  <si>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</si>
  <si>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</si>
  <si>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</si>
  <si>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</si>
  <si>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</si>
  <si>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</si>
  <si>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</si>
  <si>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</si>
  <si>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</si>
  <si>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</si>
  <si>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</si>
  <si>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</si>
  <si>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</si>
  <si>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</si>
  <si>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</si>
  <si>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</si>
  <si>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</si>
  <si>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</si>
  <si>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</si>
  <si>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</si>
  <si>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</si>
  <si>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</si>
  <si>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</si>
  <si>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</si>
  <si>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</si>
  <si>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</si>
  <si>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</si>
  <si>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</si>
  <si>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</si>
  <si>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</si>
  <si>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</si>
  <si>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</si>
  <si>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</si>
  <si>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</si>
  <si>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</si>
  <si>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</si>
  <si>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</si>
  <si>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</si>
  <si>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</si>
  <si>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</si>
  <si>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</si>
  <si>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</si>
  <si>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</si>
  <si>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</si>
  <si>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</si>
  <si>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</si>
  <si>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</si>
  <si>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</si>
  <si>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</si>
  <si>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</si>
  <si>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</si>
  <si>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</si>
  <si>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</si>
  <si>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</si>
  <si>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</si>
  <si>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</si>
  <si>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</si>
  <si>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</si>
  <si>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</si>
  <si>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</si>
  <si>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</si>
  <si>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</si>
  <si>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</si>
  <si>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</si>
  <si>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</si>
  <si>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</si>
  <si>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</si>
  <si>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</si>
  <si>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</si>
  <si>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</si>
  <si>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</si>
  <si>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</si>
  <si>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</si>
  <si>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</si>
  <si>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</si>
  <si>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</si>
  <si>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</si>
  <si>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</si>
  <si>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</si>
  <si>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</si>
  <si>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</si>
  <si>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</si>
  <si>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</si>
  <si>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</si>
  <si>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</si>
  <si>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</si>
  <si>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</si>
  <si>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</si>
  <si>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</si>
  <si>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</si>
  <si>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</si>
  <si>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</si>
  <si>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</si>
  <si>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</si>
  <si>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</si>
  <si>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</si>
  <si>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</si>
  <si>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</si>
  <si>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</si>
  <si>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</si>
  <si>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</si>
  <si>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</si>
  <si>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</si>
  <si>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</si>
  <si>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</si>
  <si>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</si>
  <si>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</si>
  <si>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</si>
  <si>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</si>
  <si>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</si>
  <si>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</si>
  <si>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</si>
  <si>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</si>
  <si>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</si>
  <si>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</si>
  <si>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</si>
  <si>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</si>
  <si>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</si>
  <si>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</si>
  <si>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</si>
  <si>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</si>
  <si>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</si>
  <si>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</si>
  <si>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</si>
  <si>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</si>
  <si>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</si>
  <si>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</si>
  <si>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</si>
  <si>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</si>
  <si>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</si>
  <si>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</si>
  <si>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</si>
  <si>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</si>
  <si>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</si>
  <si>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</si>
  <si>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</si>
  <si>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</si>
  <si>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</si>
  <si>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</si>
  <si>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</si>
  <si>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</si>
  <si>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</si>
  <si>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</si>
  <si>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</si>
  <si>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</si>
  <si>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</si>
  <si>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</si>
  <si>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</si>
  <si>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</si>
  <si>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</si>
  <si>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</si>
  <si>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</si>
  <si>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</si>
  <si>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</si>
  <si>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</si>
  <si>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</si>
  <si>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</si>
  <si>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</si>
  <si>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</si>
  <si>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</si>
  <si>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</si>
  <si>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</si>
  <si>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</si>
  <si>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</si>
  <si>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</si>
  <si>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</si>
  <si>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</si>
  <si>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</si>
  <si>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</si>
  <si>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</si>
  <si>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</si>
  <si>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</si>
  <si>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</si>
  <si>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</si>
  <si>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</si>
  <si>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</si>
  <si>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</si>
  <si>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</si>
  <si>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</si>
  <si>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</si>
  <si>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</si>
  <si>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</si>
  <si>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</si>
  <si>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</si>
  <si>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</si>
  <si>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</si>
  <si>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</si>
  <si>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</si>
  <si>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</si>
  <si>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</si>
  <si>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</si>
  <si>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</si>
  <si>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</si>
  <si>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</si>
  <si>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</si>
  <si>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</si>
  <si>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</si>
  <si>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</si>
  <si>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</si>
  <si>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</si>
  <si>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</si>
  <si>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</si>
  <si>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</si>
  <si>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</si>
  <si>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</si>
  <si>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</si>
  <si>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</si>
  <si>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</si>
  <si>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</si>
  <si>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</si>
  <si>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</si>
  <si>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</si>
  <si>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</si>
  <si>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</si>
  <si>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</si>
  <si>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</si>
  <si>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</si>
  <si>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</si>
  <si>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</si>
  <si>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</si>
  <si>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</si>
  <si>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</si>
  <si>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</si>
  <si>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</si>
  <si>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</si>
  <si>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</si>
  <si>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</si>
  <si>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</si>
  <si>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</si>
  <si>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</si>
  <si>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</si>
  <si>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</si>
  <si>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</si>
  <si>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</si>
  <si>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</si>
  <si>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</si>
  <si>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</si>
  <si>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</si>
  <si>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</si>
  <si>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</si>
  <si>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</si>
  <si>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</si>
  <si>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</si>
  <si>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</si>
  <si>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</si>
  <si>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</si>
  <si>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</si>
  <si>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</si>
  <si>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</si>
  <si>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</si>
  <si>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</si>
  <si>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</si>
  <si>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</si>
  <si>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</si>
  <si>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</si>
  <si>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</si>
  <si>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</si>
  <si>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</si>
  <si>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</si>
  <si>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</si>
  <si>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</si>
  <si>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</si>
  <si>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</si>
  <si>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</si>
  <si>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</si>
  <si>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</si>
  <si>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</si>
  <si>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</si>
  <si>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</si>
  <si>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</si>
  <si>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</si>
  <si>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</si>
  <si>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</si>
  <si>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</si>
  <si>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</si>
  <si>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</si>
  <si>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</si>
  <si>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</si>
  <si>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</si>
  <si>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</si>
  <si>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</si>
  <si>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</si>
  <si>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</si>
  <si>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</si>
  <si>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</si>
  <si>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</si>
  <si>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</si>
  <si>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</si>
  <si>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</si>
  <si>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</si>
  <si>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</si>
  <si>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</si>
  <si>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</si>
  <si>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</si>
  <si>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</si>
  <si>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</si>
  <si>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</si>
  <si>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</si>
  <si>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</si>
  <si>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</si>
  <si>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</si>
  <si>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</si>
  <si>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</si>
  <si>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</si>
  <si>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</si>
  <si>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</si>
  <si>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</si>
  <si>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</si>
  <si>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</si>
  <si>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</si>
  <si>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</si>
  <si>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</si>
  <si>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</si>
  <si>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</si>
  <si>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</si>
  <si>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</si>
  <si>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</si>
  <si>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</si>
  <si>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</si>
  <si>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</si>
  <si>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</si>
  <si>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</si>
  <si>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</si>
  <si>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</si>
  <si>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</si>
  <si>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</si>
  <si>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</si>
  <si>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</si>
  <si>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</si>
  <si>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</si>
  <si>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</si>
  <si>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</si>
  <si>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</si>
  <si>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</si>
  <si>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</si>
  <si>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</si>
  <si>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</si>
  <si>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</si>
  <si>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</si>
  <si>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</si>
  <si>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</si>
  <si>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</si>
  <si>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</si>
  <si>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</si>
  <si>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</si>
  <si>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</si>
  <si>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</si>
  <si>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</si>
  <si>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</si>
  <si>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</si>
  <si>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</si>
  <si>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</si>
  <si>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</si>
  <si>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</si>
  <si>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</si>
  <si>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</si>
  <si>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</si>
  <si>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</si>
  <si>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</si>
  <si>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</si>
  <si>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</si>
  <si>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</si>
  <si>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</si>
  <si>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</si>
  <si>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</si>
  <si>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</si>
  <si>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</si>
  <si>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</si>
  <si>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</si>
  <si>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</si>
  <si>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</si>
  <si>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</si>
  <si>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</si>
  <si>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</si>
  <si>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</si>
  <si>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</si>
  <si>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</si>
  <si>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</si>
  <si>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</si>
  <si>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</si>
  <si>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</si>
  <si>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</si>
  <si>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</si>
  <si>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</si>
  <si>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</si>
  <si>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</si>
  <si>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</si>
  <si>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</si>
  <si>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</si>
  <si>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</si>
  <si>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</si>
  <si>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</si>
  <si>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</si>
  <si>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</si>
  <si>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</si>
  <si>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</si>
  <si>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</si>
  <si>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</si>
  <si>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</si>
  <si>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</si>
  <si>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</si>
  <si>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</si>
  <si>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</si>
  <si>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</si>
  <si>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</si>
  <si>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</si>
  <si>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</si>
  <si>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</si>
  <si>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</si>
  <si>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</si>
  <si>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</si>
  <si>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</si>
  <si>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</si>
  <si>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</si>
  <si>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</si>
  <si>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</si>
  <si>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</si>
  <si>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</si>
  <si>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</si>
  <si>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</si>
  <si>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</si>
  <si>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</si>
  <si>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</si>
  <si>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</si>
  <si>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</si>
  <si>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</si>
  <si>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</si>
  <si>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</si>
  <si>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</si>
  <si>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</si>
  <si>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</si>
  <si>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</si>
  <si>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</si>
  <si>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</si>
  <si>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</si>
  <si>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</si>
  <si>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</si>
  <si>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</si>
  <si>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</si>
  <si>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</si>
  <si>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</si>
  <si>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</si>
  <si>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</si>
  <si>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</si>
  <si>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</si>
  <si>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</si>
  <si>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</si>
  <si>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</si>
  <si>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</si>
  <si>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</si>
  <si>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</si>
  <si>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</si>
  <si>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</si>
  <si>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</si>
  <si>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</si>
  <si>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</si>
  <si>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</si>
  <si>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</si>
  <si>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</si>
  <si>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</si>
  <si>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</si>
  <si>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</si>
  <si>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</si>
  <si>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</si>
  <si>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</si>
  <si>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</si>
  <si>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</si>
  <si>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</si>
  <si>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</si>
  <si>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</si>
  <si>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</si>
  <si>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</si>
  <si>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</si>
  <si>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</si>
  <si>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</si>
  <si>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</si>
  <si>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</si>
  <si>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</si>
  <si>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</si>
  <si>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</si>
  <si>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</si>
  <si>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</si>
  <si>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</si>
  <si>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</si>
  <si>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</si>
  <si>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</si>
  <si>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</si>
  <si>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</si>
  <si>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</si>
  <si>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</si>
  <si>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</si>
  <si>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</si>
  <si>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</si>
  <si>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</si>
  <si>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</si>
  <si>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</si>
  <si>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</si>
  <si>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</si>
  <si>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</si>
  <si>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</si>
  <si>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</si>
  <si>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</si>
  <si>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</si>
  <si>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</si>
  <si>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</si>
  <si>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</si>
  <si>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</si>
  <si>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</si>
  <si>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</si>
  <si>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</si>
  <si>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</si>
  <si>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</si>
  <si>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</si>
  <si>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</si>
  <si>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</si>
  <si>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</si>
  <si>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</si>
  <si>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</si>
  <si>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</si>
  <si>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</si>
  <si>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</si>
  <si>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</si>
  <si>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</si>
  <si>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</si>
  <si>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</si>
  <si>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</si>
  <si>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</si>
  <si>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</si>
  <si>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</si>
  <si>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</si>
  <si>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</si>
  <si>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</si>
  <si>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</si>
  <si>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</si>
  <si>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</si>
  <si>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</si>
  <si>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</si>
  <si>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</si>
  <si>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</si>
  <si>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</si>
  <si>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</si>
  <si>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</si>
  <si>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</si>
  <si>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</si>
  <si>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</si>
  <si>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</si>
  <si>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</si>
  <si>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</si>
  <si>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</si>
  <si>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</si>
  <si>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</si>
  <si>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</si>
  <si>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</si>
  <si>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</si>
  <si>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</si>
  <si>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</si>
  <si>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</si>
  <si>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</si>
  <si>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</si>
  <si>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</si>
  <si>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</si>
  <si>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</si>
  <si>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</si>
  <si>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</si>
  <si>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</si>
  <si>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</si>
  <si>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</si>
  <si>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</si>
  <si>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</si>
  <si>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</si>
  <si>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</si>
  <si>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</si>
  <si>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</si>
  <si>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</si>
  <si>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</si>
  <si>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</si>
  <si>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</si>
  <si>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</si>
  <si>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Derry Cooperative School District SAU #10</t>
  </si>
  <si>
    <t>02/94</t>
  </si>
  <si>
    <t>06/14</t>
  </si>
  <si>
    <t>07/03</t>
  </si>
  <si>
    <t>07/23</t>
  </si>
  <si>
    <t>01/11</t>
  </si>
  <si>
    <t>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</si>
</sst>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131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4143789.71</v>
      </c>
      <c r="G9" s="18">
        <v>925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898212.59</v>
      </c>
      <c r="G12" s="18">
        <v>207397.78</v>
      </c>
      <c r="H12" s="18">
        <v>8285.15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141753.25</v>
      </c>
      <c r="G13" s="18">
        <v>33005.089999999997</v>
      </c>
      <c r="H13" s="18"/>
      <c r="I13" s="18"/>
      <c r="J13" s="67">
        <f>SUM(I441)</f>
        <v>361886.93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37985.67</v>
      </c>
      <c r="G14" s="18">
        <v>3245.01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32210.65</v>
      </c>
      <c r="G16" s="18">
        <f>10844.24+51225.59</f>
        <v>62069.829999999994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5253951.87</v>
      </c>
      <c r="G19" s="41">
        <f>SUM(G9:G18)</f>
        <v>306642.71000000002</v>
      </c>
      <c r="H19" s="41">
        <f>SUM(H9:H18)</f>
        <v>8285.15</v>
      </c>
      <c r="I19" s="41">
        <f>SUM(I9:I18)</f>
        <v>0</v>
      </c>
      <c r="J19" s="41">
        <f>SUM(J9:J18)</f>
        <v>361886.93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250991.28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562626.81000000006</v>
      </c>
      <c r="G24" s="18">
        <v>1029.72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279187.48</v>
      </c>
      <c r="G28" s="18">
        <v>1863.2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29750</v>
      </c>
      <c r="G30" s="18">
        <v>24980.77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1122555.57</v>
      </c>
      <c r="G32" s="41">
        <f>SUM(G22:G31)</f>
        <v>27873.690000000002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32210.65</v>
      </c>
      <c r="G35" s="18">
        <v>62069.83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216699.19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33000</f>
        <v>33000</v>
      </c>
      <c r="G47" s="18"/>
      <c r="H47" s="18">
        <v>8285.15</v>
      </c>
      <c r="I47" s="18"/>
      <c r="J47" s="13">
        <f>SUM(I458)</f>
        <v>361886.93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488113.37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3578072.28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4131396.3</v>
      </c>
      <c r="G50" s="41">
        <f>SUM(G35:G49)</f>
        <v>278769.02</v>
      </c>
      <c r="H50" s="41">
        <f>SUM(H35:H49)</f>
        <v>8285.15</v>
      </c>
      <c r="I50" s="41">
        <f>SUM(I35:I49)</f>
        <v>0</v>
      </c>
      <c r="J50" s="41">
        <f>SUM(J35:J49)</f>
        <v>361886.93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5253951.87</v>
      </c>
      <c r="G51" s="41">
        <f>G50+G32</f>
        <v>306642.71000000002</v>
      </c>
      <c r="H51" s="41">
        <f>H50+H32</f>
        <v>8285.15</v>
      </c>
      <c r="I51" s="41">
        <f>I50+I32</f>
        <v>0</v>
      </c>
      <c r="J51" s="41">
        <f>J50+J32</f>
        <v>361886.93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35353911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35353911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63640.5+370809.5</f>
        <v>434450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12516.11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86546.5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533512.61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5546.13</v>
      </c>
      <c r="G95" s="18"/>
      <c r="H95" s="18"/>
      <c r="I95" s="18"/>
      <c r="J95" s="18">
        <v>2538.2199999999998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838779.34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98453.14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37565.63+139692.63</f>
        <v>177258.26</v>
      </c>
      <c r="G109" s="18"/>
      <c r="H109" s="18">
        <v>50131.14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281257.53000000003</v>
      </c>
      <c r="G110" s="41">
        <f>SUM(G95:G109)</f>
        <v>838779.34</v>
      </c>
      <c r="H110" s="41">
        <f>SUM(H95:H109)</f>
        <v>50131.14</v>
      </c>
      <c r="I110" s="41">
        <f>SUM(I95:I109)</f>
        <v>0</v>
      </c>
      <c r="J110" s="41">
        <f>SUM(J95:J109)</f>
        <v>2538.2199999999998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36168681.140000001</v>
      </c>
      <c r="G111" s="41">
        <f>G59+G110</f>
        <v>838779.34</v>
      </c>
      <c r="H111" s="41">
        <f>H59+H78+H93+H110</f>
        <v>50131.14</v>
      </c>
      <c r="I111" s="41">
        <f>I59+I110</f>
        <v>0</v>
      </c>
      <c r="J111" s="41">
        <f>J59+J110</f>
        <v>2538.2199999999998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271">
        <v>27171284.890000001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271">
        <v>6123642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271">
        <v>23542.11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33318469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734659.09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537053.34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18168.96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1271712.43</v>
      </c>
      <c r="G135" s="41">
        <f>SUM(G122:G134)</f>
        <v>18168.96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34590181.43</v>
      </c>
      <c r="G139" s="41">
        <f>G120+SUM(G135:G136)</f>
        <v>18168.96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719056.62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719056.62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617474.44999999995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321521.03+793995.99-28.05+40519.97</f>
        <v>1156008.94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73791.75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421767.78+73730.5+2909.43+70073.51</f>
        <v>568481.22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469879.32+11639.09+148832.05-3.21</f>
        <v>630347.25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565684.6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565684.6</v>
      </c>
      <c r="G161" s="41">
        <f>SUM(G149:G160)</f>
        <v>568481.22</v>
      </c>
      <c r="H161" s="41">
        <f>SUM(H149:H160)</f>
        <v>2477622.3899999997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1284741.22</v>
      </c>
      <c r="G168" s="41">
        <f>G146+G161+SUM(G162:G167)</f>
        <v>568481.22</v>
      </c>
      <c r="H168" s="41">
        <f>H146+H161+SUM(H162:H167)</f>
        <v>2477622.3899999997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72043603.789999992</v>
      </c>
      <c r="G192" s="47">
        <f>G111+G139+G168+G191</f>
        <v>1425429.52</v>
      </c>
      <c r="H192" s="47">
        <f>H111+H139+H168+H191</f>
        <v>2527753.5299999998</v>
      </c>
      <c r="I192" s="47">
        <f>I111+I139+I168+I191</f>
        <v>0</v>
      </c>
      <c r="J192" s="47">
        <f>J111+J139+J191</f>
        <v>2538.2199999999998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7175045.37+226765.12</f>
        <v>7401810.4900000002</v>
      </c>
      <c r="G196" s="18">
        <f>3663018.72+80681.84</f>
        <v>3743700.56</v>
      </c>
      <c r="H196" s="18">
        <f>130+2158</f>
        <v>2288</v>
      </c>
      <c r="I196" s="18">
        <f>77126.98+9559.9</f>
        <v>86686.87999999999</v>
      </c>
      <c r="J196" s="18">
        <v>0</v>
      </c>
      <c r="K196" s="18">
        <v>0</v>
      </c>
      <c r="L196" s="19">
        <f>SUM(F196:K196)</f>
        <v>11234485.930000002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3267711.11+167844.32</f>
        <v>3435555.4299999997</v>
      </c>
      <c r="G197" s="18">
        <f>1396804.2+59333.75</f>
        <v>1456137.95</v>
      </c>
      <c r="H197" s="18">
        <f>958.86+144.26+1111903.83</f>
        <v>1113006.9500000002</v>
      </c>
      <c r="I197" s="18">
        <f>1973.53+1985.3+77.45</f>
        <v>4036.2799999999997</v>
      </c>
      <c r="J197" s="18">
        <v>893.59</v>
      </c>
      <c r="K197" s="18">
        <v>1512.21</v>
      </c>
      <c r="L197" s="19">
        <f>SUM(F197:K197)</f>
        <v>6011142.4100000001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14827+38454.06</f>
        <v>53281.06</v>
      </c>
      <c r="G199" s="18">
        <f>2703.15+6283.66</f>
        <v>8986.81</v>
      </c>
      <c r="H199" s="18">
        <v>0</v>
      </c>
      <c r="I199" s="18">
        <v>597.12</v>
      </c>
      <c r="J199" s="18">
        <v>0</v>
      </c>
      <c r="K199" s="18">
        <v>0</v>
      </c>
      <c r="L199" s="19">
        <f>SUM(F199:K199)</f>
        <v>62864.99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1098467.35+859935.76</f>
        <v>1958403.11</v>
      </c>
      <c r="G201" s="18">
        <f>528999.47+390602.77</f>
        <v>919602.24</v>
      </c>
      <c r="H201" s="18">
        <f>233549.91+10310.92+12164.24+7783.97+642.71</f>
        <v>264451.75</v>
      </c>
      <c r="I201" s="18">
        <f>4544.45+9790.61</f>
        <v>14335.060000000001</v>
      </c>
      <c r="J201" s="18">
        <v>0</v>
      </c>
      <c r="K201" s="18">
        <v>0</v>
      </c>
      <c r="L201" s="19">
        <f t="shared" ref="L201:L207" si="0">SUM(F201:K201)</f>
        <v>3156792.16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185415.15+224335.18</f>
        <v>409750.32999999996</v>
      </c>
      <c r="G202" s="18">
        <f>63493.2+138574.78+1240.75</f>
        <v>203308.72999999998</v>
      </c>
      <c r="H202" s="18">
        <f>8740.11+1793.48+4574.38+10127.2+14.82+9000</f>
        <v>34249.990000000005</v>
      </c>
      <c r="I202" s="18">
        <f>21499.64+40788.78</f>
        <v>62288.42</v>
      </c>
      <c r="J202" s="18">
        <f>36873.58</f>
        <v>36873.58</v>
      </c>
      <c r="K202" s="18">
        <f>337</f>
        <v>337</v>
      </c>
      <c r="L202" s="19">
        <f t="shared" si="0"/>
        <v>746808.04999999993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319966.36</v>
      </c>
      <c r="G203" s="18">
        <v>133280.51999999999</v>
      </c>
      <c r="H203" s="18">
        <f>68102+8064.6+9196.65+13639.5</f>
        <v>99002.75</v>
      </c>
      <c r="I203" s="18">
        <v>8402.6299999999992</v>
      </c>
      <c r="J203" s="18">
        <v>0</v>
      </c>
      <c r="K203" s="18">
        <v>9578.39</v>
      </c>
      <c r="L203" s="19">
        <f t="shared" si="0"/>
        <v>570230.65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1086063.03</v>
      </c>
      <c r="G204" s="18">
        <f>595829.19+17618.52+798.84</f>
        <v>614246.54999999993</v>
      </c>
      <c r="H204" s="18">
        <f>2466.79+69010.3+5088.58</f>
        <v>76565.67</v>
      </c>
      <c r="I204" s="18">
        <v>15498.26</v>
      </c>
      <c r="J204" s="18">
        <v>35065.839999999997</v>
      </c>
      <c r="K204" s="18">
        <v>7263</v>
      </c>
      <c r="L204" s="19">
        <f t="shared" si="0"/>
        <v>1834702.35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175634.9</v>
      </c>
      <c r="G205" s="18">
        <v>87526.62</v>
      </c>
      <c r="H205" s="18">
        <v>741.51</v>
      </c>
      <c r="I205" s="18">
        <v>2233.61</v>
      </c>
      <c r="J205" s="18">
        <v>0</v>
      </c>
      <c r="K205" s="18">
        <v>1476.57</v>
      </c>
      <c r="L205" s="19">
        <f t="shared" si="0"/>
        <v>267613.21000000002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659836.39+213312.54</f>
        <v>873148.93</v>
      </c>
      <c r="G206" s="18">
        <f>359487.22+113208.51</f>
        <v>472695.73</v>
      </c>
      <c r="H206" s="18">
        <f>58699.98+151870.84+36471.16+93394+87310.44</f>
        <v>427746.42</v>
      </c>
      <c r="I206" s="18">
        <f>703064.16+118902.29+153.66+1468.14</f>
        <v>823588.25000000012</v>
      </c>
      <c r="J206" s="18">
        <v>0</v>
      </c>
      <c r="K206" s="18">
        <v>0</v>
      </c>
      <c r="L206" s="19">
        <f t="shared" si="0"/>
        <v>2597179.33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947813.68</v>
      </c>
      <c r="I207" s="18"/>
      <c r="J207" s="18"/>
      <c r="K207" s="18"/>
      <c r="L207" s="19">
        <f t="shared" si="0"/>
        <v>947813.68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f>6482.88+53278.43-1265.12+6282.99</f>
        <v>64779.179999999993</v>
      </c>
      <c r="J208" s="18"/>
      <c r="K208" s="18"/>
      <c r="L208" s="19">
        <f>SUM(F208:K208)</f>
        <v>64779.179999999993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15713613.639999999</v>
      </c>
      <c r="G210" s="41">
        <f t="shared" si="1"/>
        <v>7639485.709999999</v>
      </c>
      <c r="H210" s="41">
        <f t="shared" si="1"/>
        <v>2965866.72</v>
      </c>
      <c r="I210" s="41">
        <f t="shared" si="1"/>
        <v>1082445.6900000002</v>
      </c>
      <c r="J210" s="41">
        <f t="shared" si="1"/>
        <v>72833.009999999995</v>
      </c>
      <c r="K210" s="41">
        <f t="shared" si="1"/>
        <v>20167.169999999998</v>
      </c>
      <c r="L210" s="41">
        <f t="shared" si="1"/>
        <v>27494411.940000005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4675682.97+133179.51</f>
        <v>4808862.4799999995</v>
      </c>
      <c r="G214" s="18">
        <f>2257135.41+47384.57</f>
        <v>2304519.98</v>
      </c>
      <c r="H214" s="18">
        <f>2187.7+65</f>
        <v>2252.6999999999998</v>
      </c>
      <c r="I214" s="18">
        <v>25781.65</v>
      </c>
      <c r="J214" s="18">
        <v>29</v>
      </c>
      <c r="K214" s="18">
        <v>0</v>
      </c>
      <c r="L214" s="19">
        <f>SUM(F214:K214)</f>
        <v>7141445.8099999996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1488125.34+98575.23</f>
        <v>1586700.57</v>
      </c>
      <c r="G215" s="18">
        <f>34846.81+628889.4</f>
        <v>663736.21</v>
      </c>
      <c r="H215" s="18">
        <f>227736.89+84.73+563.14</f>
        <v>228384.76000000004</v>
      </c>
      <c r="I215" s="18">
        <f>1165.97+2326.55</f>
        <v>3492.5200000000004</v>
      </c>
      <c r="J215" s="18">
        <v>524.79999999999995</v>
      </c>
      <c r="K215" s="18">
        <v>888.12</v>
      </c>
      <c r="L215" s="19">
        <f>SUM(F215:K215)</f>
        <v>2483726.9800000004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132709.92+22584.13</f>
        <v>155294.05000000002</v>
      </c>
      <c r="G217" s="18">
        <f>21411.96+3690.4</f>
        <v>25102.36</v>
      </c>
      <c r="H217" s="18">
        <f>16690+146.85+747.55</f>
        <v>17584.399999999998</v>
      </c>
      <c r="I217" s="18">
        <f>11319.86+350.69</f>
        <v>11670.550000000001</v>
      </c>
      <c r="J217" s="18">
        <v>6836.66</v>
      </c>
      <c r="K217" s="18">
        <v>3500</v>
      </c>
      <c r="L217" s="19">
        <f>SUM(F217:K217)</f>
        <v>219988.02000000002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624518.68+505041.64</f>
        <v>1129560.32</v>
      </c>
      <c r="G219" s="18">
        <f>258068.51+229401.63</f>
        <v>487470.14</v>
      </c>
      <c r="H219" s="18">
        <f>108226.77+4957.18+7144.07+4571.53+377.47</f>
        <v>125277.02000000002</v>
      </c>
      <c r="I219" s="18">
        <f>3577.67+5750.04</f>
        <v>9327.7099999999991</v>
      </c>
      <c r="J219" s="18">
        <v>0</v>
      </c>
      <c r="K219" s="18">
        <v>0</v>
      </c>
      <c r="L219" s="19">
        <f t="shared" ref="L219:L225" si="2">SUM(F219:K219)</f>
        <v>1751635.19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17286.4+131752.4</f>
        <v>149038.79999999999</v>
      </c>
      <c r="G220" s="18">
        <f>81385.19+5340.39</f>
        <v>86725.58</v>
      </c>
      <c r="H220" s="18">
        <f>8.71+5947.72+13630.51+1053.32+11010.14+3000</f>
        <v>34650.400000000001</v>
      </c>
      <c r="I220" s="18">
        <f>12623.5+23955.32+160</f>
        <v>36738.82</v>
      </c>
      <c r="J220" s="18">
        <v>0</v>
      </c>
      <c r="K220" s="18">
        <f>275+198</f>
        <v>473</v>
      </c>
      <c r="L220" s="19">
        <f t="shared" si="2"/>
        <v>307626.60000000003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187916.75</v>
      </c>
      <c r="G221" s="18">
        <v>78275.86</v>
      </c>
      <c r="H221" s="18">
        <f>5401.21+4736.36+39996.41+8010.5</f>
        <v>58144.480000000003</v>
      </c>
      <c r="I221" s="18">
        <v>4934.88</v>
      </c>
      <c r="J221" s="18">
        <v>0</v>
      </c>
      <c r="K221" s="18">
        <v>5625.4</v>
      </c>
      <c r="L221" s="19">
        <f t="shared" si="2"/>
        <v>334897.37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685990.74</v>
      </c>
      <c r="G222" s="18">
        <f>322120.99+10347.38+469.16</f>
        <v>332937.52999999997</v>
      </c>
      <c r="H222" s="18">
        <f>3980.5+46544.24+2681.25+5548.28</f>
        <v>58754.27</v>
      </c>
      <c r="I222" s="18">
        <f>9102.16+90</f>
        <v>9192.16</v>
      </c>
      <c r="J222" s="18">
        <v>0</v>
      </c>
      <c r="K222" s="18">
        <v>4448.4399999999996</v>
      </c>
      <c r="L222" s="19">
        <f t="shared" si="2"/>
        <v>1091323.1399999999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103150.65</v>
      </c>
      <c r="G223" s="18">
        <v>51404.53</v>
      </c>
      <c r="H223" s="18">
        <v>435.49</v>
      </c>
      <c r="I223" s="18">
        <v>1311.81</v>
      </c>
      <c r="J223" s="18">
        <v>0</v>
      </c>
      <c r="K223" s="18">
        <v>867.19</v>
      </c>
      <c r="L223" s="19">
        <f t="shared" si="2"/>
        <v>157169.66999999998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358394.44+125278.8</f>
        <v>483673.24</v>
      </c>
      <c r="G224" s="18">
        <f>160559.21+66487.53</f>
        <v>227046.74</v>
      </c>
      <c r="H224" s="18">
        <f>46838.33+89193.98+20696.9+54850.45+51277.56</f>
        <v>262857.21999999997</v>
      </c>
      <c r="I224" s="18">
        <f>419988.76+69831.51+862.24</f>
        <v>490682.51</v>
      </c>
      <c r="J224" s="18">
        <v>0</v>
      </c>
      <c r="K224" s="18">
        <v>0</v>
      </c>
      <c r="L224" s="19">
        <f t="shared" si="2"/>
        <v>1464259.71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804249.75</v>
      </c>
      <c r="I225" s="18"/>
      <c r="J225" s="18"/>
      <c r="K225" s="18"/>
      <c r="L225" s="19">
        <f t="shared" si="2"/>
        <v>804249.75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>
        <f>3807.4+29855.21-743+3689.01</f>
        <v>36608.620000000003</v>
      </c>
      <c r="J226" s="18"/>
      <c r="K226" s="18"/>
      <c r="L226" s="19">
        <f>SUM(F226:K226)</f>
        <v>36608.620000000003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9290187.5999999996</v>
      </c>
      <c r="G228" s="41">
        <f>SUM(G214:G227)</f>
        <v>4257218.93</v>
      </c>
      <c r="H228" s="41">
        <f>SUM(H214:H227)</f>
        <v>1592590.49</v>
      </c>
      <c r="I228" s="41">
        <f>SUM(I214:I227)</f>
        <v>629741.23</v>
      </c>
      <c r="J228" s="41">
        <f>SUM(J214:J227)</f>
        <v>7390.46</v>
      </c>
      <c r="K228" s="41">
        <f t="shared" si="3"/>
        <v>15802.15</v>
      </c>
      <c r="L228" s="41">
        <f t="shared" si="3"/>
        <v>15792930.859999998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3000+20369679.71</f>
        <v>20372679.710000001</v>
      </c>
      <c r="I232" s="18"/>
      <c r="J232" s="18"/>
      <c r="K232" s="18"/>
      <c r="L232" s="19">
        <f>SUM(F232:K232)</f>
        <v>20372679.710000001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5262806.43</v>
      </c>
      <c r="I233" s="18"/>
      <c r="J233" s="18"/>
      <c r="K233" s="18"/>
      <c r="L233" s="19">
        <f>SUM(F233:K233)</f>
        <v>5262806.43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104292.78+4560.6</f>
        <v>108853.38</v>
      </c>
      <c r="I237" s="18"/>
      <c r="J237" s="18"/>
      <c r="K237" s="18"/>
      <c r="L237" s="19">
        <f t="shared" ref="L237:L243" si="4">SUM(F237:K237)</f>
        <v>108853.38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1080754.8999999999</v>
      </c>
      <c r="I243" s="18"/>
      <c r="J243" s="18"/>
      <c r="K243" s="18"/>
      <c r="L243" s="19">
        <f t="shared" si="4"/>
        <v>1080754.8999999999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26825094.419999998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26825094.419999998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67431.94</v>
      </c>
      <c r="G250" s="18">
        <v>5925.09</v>
      </c>
      <c r="H250" s="18">
        <f>1235+10242.74</f>
        <v>11477.74</v>
      </c>
      <c r="I250" s="18">
        <v>5793.4</v>
      </c>
      <c r="J250" s="18"/>
      <c r="K250" s="18"/>
      <c r="L250" s="19">
        <f t="shared" si="6"/>
        <v>90628.17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67431.94</v>
      </c>
      <c r="G255" s="41">
        <f t="shared" si="7"/>
        <v>5925.09</v>
      </c>
      <c r="H255" s="41">
        <f t="shared" si="7"/>
        <v>11477.74</v>
      </c>
      <c r="I255" s="41">
        <f t="shared" si="7"/>
        <v>5793.4</v>
      </c>
      <c r="J255" s="41">
        <f t="shared" si="7"/>
        <v>0</v>
      </c>
      <c r="K255" s="41">
        <f t="shared" si="7"/>
        <v>0</v>
      </c>
      <c r="L255" s="41">
        <f>SUM(F255:K255)</f>
        <v>90628.17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25071233.18</v>
      </c>
      <c r="G256" s="41">
        <f t="shared" si="8"/>
        <v>11902629.729999999</v>
      </c>
      <c r="H256" s="41">
        <f t="shared" si="8"/>
        <v>31395029.369999997</v>
      </c>
      <c r="I256" s="41">
        <f t="shared" si="8"/>
        <v>1717980.32</v>
      </c>
      <c r="J256" s="41">
        <f t="shared" si="8"/>
        <v>80223.47</v>
      </c>
      <c r="K256" s="41">
        <f t="shared" si="8"/>
        <v>35969.32</v>
      </c>
      <c r="L256" s="41">
        <f t="shared" si="8"/>
        <v>70203065.390000001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1785000</v>
      </c>
      <c r="L259" s="19">
        <f>SUM(F259:K259)</f>
        <v>1785000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721890.63</v>
      </c>
      <c r="L260" s="19">
        <f>SUM(F260:K260)</f>
        <v>721890.63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2506890.63</v>
      </c>
      <c r="L269" s="41">
        <f t="shared" si="9"/>
        <v>2506890.63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25071233.18</v>
      </c>
      <c r="G270" s="42">
        <f t="shared" si="11"/>
        <v>11902629.729999999</v>
      </c>
      <c r="H270" s="42">
        <f t="shared" si="11"/>
        <v>31395029.369999997</v>
      </c>
      <c r="I270" s="42">
        <f t="shared" si="11"/>
        <v>1717980.32</v>
      </c>
      <c r="J270" s="42">
        <f t="shared" si="11"/>
        <v>80223.47</v>
      </c>
      <c r="K270" s="42">
        <f t="shared" si="11"/>
        <v>2542859.9499999997</v>
      </c>
      <c r="L270" s="42">
        <f t="shared" si="11"/>
        <v>72709956.019999996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1489716.61</v>
      </c>
      <c r="I280" s="18"/>
      <c r="J280" s="18"/>
      <c r="K280" s="18"/>
      <c r="L280" s="19">
        <f t="shared" ref="L280:L286" si="12">SUM(F280:K280)</f>
        <v>1489716.61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1489716.61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1489716.61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813723.97</v>
      </c>
      <c r="I299" s="18"/>
      <c r="J299" s="18"/>
      <c r="K299" s="18"/>
      <c r="L299" s="19">
        <f t="shared" ref="L299:L305" si="14">SUM(F299:K299)</f>
        <v>813723.97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813723.97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813723.97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148719.86-28.05</f>
        <v>148691.81</v>
      </c>
      <c r="I318" s="18"/>
      <c r="J318" s="18"/>
      <c r="K318" s="18"/>
      <c r="L318" s="19">
        <f t="shared" ref="L318:L324" si="16">SUM(F318:K318)</f>
        <v>148691.81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148691.81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148691.81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27900+28898+792</f>
        <v>57590</v>
      </c>
      <c r="G332" s="18">
        <f>2134.47+180+2210.69+60.58</f>
        <v>4585.74</v>
      </c>
      <c r="H332" s="18">
        <f>1908.85+500+595.63</f>
        <v>3004.48</v>
      </c>
      <c r="I332" s="18">
        <f>631.14+2968.52</f>
        <v>3599.66</v>
      </c>
      <c r="J332" s="18">
        <v>5143.1400000000003</v>
      </c>
      <c r="K332" s="18">
        <f>161.79+559.52</f>
        <v>721.31</v>
      </c>
      <c r="L332" s="19">
        <f t="shared" si="18"/>
        <v>74644.33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57590</v>
      </c>
      <c r="G336" s="41">
        <f t="shared" si="19"/>
        <v>4585.74</v>
      </c>
      <c r="H336" s="41">
        <f t="shared" si="19"/>
        <v>3004.48</v>
      </c>
      <c r="I336" s="41">
        <f t="shared" si="19"/>
        <v>3599.66</v>
      </c>
      <c r="J336" s="41">
        <f t="shared" si="19"/>
        <v>5143.1400000000003</v>
      </c>
      <c r="K336" s="41">
        <f t="shared" si="19"/>
        <v>721.31</v>
      </c>
      <c r="L336" s="41">
        <f t="shared" si="18"/>
        <v>74644.33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57590</v>
      </c>
      <c r="G337" s="41">
        <f t="shared" si="20"/>
        <v>4585.74</v>
      </c>
      <c r="H337" s="41">
        <f t="shared" si="20"/>
        <v>2455136.87</v>
      </c>
      <c r="I337" s="41">
        <f t="shared" si="20"/>
        <v>3599.66</v>
      </c>
      <c r="J337" s="41">
        <f t="shared" si="20"/>
        <v>5143.1400000000003</v>
      </c>
      <c r="K337" s="41">
        <f t="shared" si="20"/>
        <v>721.31</v>
      </c>
      <c r="L337" s="41">
        <f t="shared" si="20"/>
        <v>2526776.7200000002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57590</v>
      </c>
      <c r="G351" s="41">
        <f>G337</f>
        <v>4585.74</v>
      </c>
      <c r="H351" s="41">
        <f>H337</f>
        <v>2455136.87</v>
      </c>
      <c r="I351" s="41">
        <f>I337</f>
        <v>3599.66</v>
      </c>
      <c r="J351" s="41">
        <f>J337</f>
        <v>5143.1400000000003</v>
      </c>
      <c r="K351" s="47">
        <f>K337+K350</f>
        <v>721.31</v>
      </c>
      <c r="L351" s="41">
        <f>L337+L350</f>
        <v>2526776.7200000002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288246.77</v>
      </c>
      <c r="G357" s="18">
        <f>91320.89+33204.81</f>
        <v>124525.7</v>
      </c>
      <c r="H357" s="18">
        <f>13435.75+8602.16</f>
        <v>22037.91</v>
      </c>
      <c r="I357" s="18">
        <f>4187.79+27582.88+302015.44+42719.64+2005.19+0.01</f>
        <v>378510.95</v>
      </c>
      <c r="J357" s="18"/>
      <c r="K357" s="18">
        <v>626.85</v>
      </c>
      <c r="L357" s="13">
        <f>SUM(F357:K357)</f>
        <v>813948.18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169287.78</v>
      </c>
      <c r="G358" s="18">
        <f>53632.91+19501.23</f>
        <v>73134.14</v>
      </c>
      <c r="H358" s="18">
        <f>7394.77+5052.06</f>
        <v>12446.830000000002</v>
      </c>
      <c r="I358" s="18">
        <f>2459.49+12434.17+239904.73+27353.87+5972.72</f>
        <v>288124.98</v>
      </c>
      <c r="J358" s="18">
        <v>16849</v>
      </c>
      <c r="K358" s="18">
        <v>368.15</v>
      </c>
      <c r="L358" s="19">
        <f>SUM(F358:K358)</f>
        <v>560210.88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457534.55000000005</v>
      </c>
      <c r="G361" s="47">
        <f t="shared" si="22"/>
        <v>197659.84</v>
      </c>
      <c r="H361" s="47">
        <f t="shared" si="22"/>
        <v>34484.740000000005</v>
      </c>
      <c r="I361" s="47">
        <f t="shared" si="22"/>
        <v>666635.92999999993</v>
      </c>
      <c r="J361" s="47">
        <f t="shared" si="22"/>
        <v>16849</v>
      </c>
      <c r="K361" s="47">
        <f t="shared" si="22"/>
        <v>995</v>
      </c>
      <c r="L361" s="47">
        <f t="shared" si="22"/>
        <v>1374159.06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42719.64+302015.44+0.01</f>
        <v>344735.09</v>
      </c>
      <c r="G366" s="18">
        <f>27353.87+239904.73</f>
        <v>267258.60000000003</v>
      </c>
      <c r="H366" s="18"/>
      <c r="I366" s="56">
        <f>SUM(F366:H366)</f>
        <v>611993.69000000006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27582.88+2005.19+4187.79</f>
        <v>33775.86</v>
      </c>
      <c r="G367" s="63">
        <f>12434.17+5972.72+2459.49</f>
        <v>20866.379999999997</v>
      </c>
      <c r="H367" s="63"/>
      <c r="I367" s="56">
        <f>SUM(F367:H367)</f>
        <v>54642.239999999998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378510.95</v>
      </c>
      <c r="G368" s="47">
        <f>SUM(G366:G367)</f>
        <v>288124.98000000004</v>
      </c>
      <c r="H368" s="47">
        <f>SUM(H366:H367)</f>
        <v>0</v>
      </c>
      <c r="I368" s="47">
        <f>SUM(I366:I367)</f>
        <v>666635.93000000005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2538.2199999999998</v>
      </c>
      <c r="I391" s="18"/>
      <c r="J391" s="24" t="s">
        <v>289</v>
      </c>
      <c r="K391" s="24" t="s">
        <v>289</v>
      </c>
      <c r="L391" s="56">
        <f t="shared" si="25"/>
        <v>2538.2199999999998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2538.2199999999998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2538.2199999999998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2538.2199999999998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2538.2199999999998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361886.93</v>
      </c>
      <c r="G441" s="18"/>
      <c r="H441" s="18"/>
      <c r="I441" s="56">
        <f t="shared" si="33"/>
        <v>361886.93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361886.93</v>
      </c>
      <c r="G445" s="13">
        <f>SUM(G438:G444)</f>
        <v>0</v>
      </c>
      <c r="H445" s="13">
        <f>SUM(H438:H444)</f>
        <v>0</v>
      </c>
      <c r="I445" s="13">
        <f>SUM(I438:I444)</f>
        <v>361886.93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361886.93</v>
      </c>
      <c r="G458" s="18"/>
      <c r="H458" s="18"/>
      <c r="I458" s="56">
        <f t="shared" si="34"/>
        <v>361886.93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361886.93</v>
      </c>
      <c r="G459" s="83">
        <f>SUM(G453:G458)</f>
        <v>0</v>
      </c>
      <c r="H459" s="83">
        <f>SUM(H453:H458)</f>
        <v>0</v>
      </c>
      <c r="I459" s="83">
        <f>SUM(I453:I458)</f>
        <v>361886.93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361886.93</v>
      </c>
      <c r="G460" s="42">
        <f>G451+G459</f>
        <v>0</v>
      </c>
      <c r="H460" s="42">
        <f>H451+H459</f>
        <v>0</v>
      </c>
      <c r="I460" s="42">
        <f>I451+I459</f>
        <v>361886.93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4797748.53</v>
      </c>
      <c r="G464" s="18">
        <v>227498.56</v>
      </c>
      <c r="H464" s="18">
        <f>7308.34</f>
        <v>7308.34</v>
      </c>
      <c r="I464" s="18"/>
      <c r="J464" s="18">
        <v>359348.71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72043603.790000007</v>
      </c>
      <c r="G467" s="18">
        <v>1425429.52</v>
      </c>
      <c r="H467" s="18">
        <f>2288270.37+50131.14+189352.02</f>
        <v>2527753.5300000003</v>
      </c>
      <c r="I467" s="18"/>
      <c r="J467" s="18">
        <v>2538.2199999999998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72043603.790000007</v>
      </c>
      <c r="G469" s="53">
        <f>SUM(G467:G468)</f>
        <v>1425429.52</v>
      </c>
      <c r="H469" s="53">
        <f>SUM(H467:H468)</f>
        <v>2527753.5300000003</v>
      </c>
      <c r="I469" s="53">
        <f>SUM(I467:I468)</f>
        <v>0</v>
      </c>
      <c r="J469" s="53">
        <f>SUM(J467:J468)</f>
        <v>2538.2199999999998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72709956.019999996</v>
      </c>
      <c r="G471" s="18">
        <v>1374159.06</v>
      </c>
      <c r="H471" s="18">
        <f>2288270.37+189352.02+49154.33</f>
        <v>2526776.7200000002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72709956.019999996</v>
      </c>
      <c r="G473" s="53">
        <f>SUM(G471:G472)</f>
        <v>1374159.06</v>
      </c>
      <c r="H473" s="53">
        <f>SUM(H471:H472)</f>
        <v>2526776.7200000002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4131396.3000000119</v>
      </c>
      <c r="G475" s="53">
        <f>(G464+G469)- G473</f>
        <v>278769.02</v>
      </c>
      <c r="H475" s="53">
        <f>(H464+H469)- H473</f>
        <v>8285.1499999999069</v>
      </c>
      <c r="I475" s="53">
        <f>(I464+I469)- I473</f>
        <v>0</v>
      </c>
      <c r="J475" s="53">
        <f>(J464+J469)- J473</f>
        <v>361886.93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>
        <v>20</v>
      </c>
      <c r="I489" s="154">
        <v>10</v>
      </c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910</v>
      </c>
      <c r="H490" s="155" t="s">
        <v>912</v>
      </c>
      <c r="I490" s="155" t="s">
        <v>914</v>
      </c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911</v>
      </c>
      <c r="H491" s="155" t="s">
        <v>913</v>
      </c>
      <c r="I491" s="155" t="s">
        <v>915</v>
      </c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6375000</v>
      </c>
      <c r="G492" s="18">
        <v>2125000</v>
      </c>
      <c r="H492" s="18">
        <v>23959000</v>
      </c>
      <c r="I492" s="18">
        <v>2355000</v>
      </c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5.3</v>
      </c>
      <c r="H493" s="18">
        <v>3.75</v>
      </c>
      <c r="I493" s="18">
        <v>2.2200000000000002</v>
      </c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960000</v>
      </c>
      <c r="G494" s="18">
        <v>315000</v>
      </c>
      <c r="H494" s="18">
        <v>15600000</v>
      </c>
      <c r="I494" s="18">
        <v>2355000</v>
      </c>
      <c r="J494" s="18"/>
      <c r="K494" s="53">
        <f>SUM(F494:J494)</f>
        <v>19230000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320000</v>
      </c>
      <c r="G496" s="18">
        <v>105000</v>
      </c>
      <c r="H496" s="18">
        <v>1200000</v>
      </c>
      <c r="I496" s="18">
        <v>160000</v>
      </c>
      <c r="J496" s="18"/>
      <c r="K496" s="53">
        <f t="shared" si="35"/>
        <v>1785000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640000</v>
      </c>
      <c r="G497" s="205">
        <v>210000</v>
      </c>
      <c r="H497" s="205">
        <v>14400000</v>
      </c>
      <c r="I497" s="205">
        <v>2195000</v>
      </c>
      <c r="J497" s="205"/>
      <c r="K497" s="206">
        <f t="shared" si="35"/>
        <v>17445000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36800</v>
      </c>
      <c r="G498" s="18">
        <v>12337.51</v>
      </c>
      <c r="H498" s="18">
        <v>3526500</v>
      </c>
      <c r="I498" s="18">
        <v>273196.90000000002</v>
      </c>
      <c r="J498" s="18"/>
      <c r="K498" s="53">
        <f t="shared" si="35"/>
        <v>3848834.4099999997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676800</v>
      </c>
      <c r="G499" s="42">
        <f>SUM(G497:G498)</f>
        <v>222337.51</v>
      </c>
      <c r="H499" s="42">
        <f>SUM(H497:H498)</f>
        <v>17926500</v>
      </c>
      <c r="I499" s="42">
        <f>SUM(I497:I498)</f>
        <v>2468196.9</v>
      </c>
      <c r="J499" s="42">
        <f>SUM(J497:J498)</f>
        <v>0</v>
      </c>
      <c r="K499" s="42">
        <f t="shared" si="35"/>
        <v>21293834.41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320000</v>
      </c>
      <c r="G500" s="205">
        <v>105000</v>
      </c>
      <c r="H500" s="205">
        <v>1200000</v>
      </c>
      <c r="I500" s="205">
        <v>295000</v>
      </c>
      <c r="J500" s="205"/>
      <c r="K500" s="206">
        <f t="shared" si="35"/>
        <v>1920000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27600</v>
      </c>
      <c r="G501" s="18">
        <v>9253.1299999999992</v>
      </c>
      <c r="H501" s="18">
        <v>550500</v>
      </c>
      <c r="I501" s="18">
        <v>60418.76</v>
      </c>
      <c r="J501" s="18"/>
      <c r="K501" s="53">
        <f t="shared" si="35"/>
        <v>647771.89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347600</v>
      </c>
      <c r="G502" s="42">
        <f>SUM(G500:G501)</f>
        <v>114253.13</v>
      </c>
      <c r="H502" s="42">
        <f>SUM(H500:H501)</f>
        <v>1750500</v>
      </c>
      <c r="I502" s="42">
        <f>SUM(I500:I501)</f>
        <v>355418.76</v>
      </c>
      <c r="J502" s="42">
        <f>SUM(J500:J501)</f>
        <v>0</v>
      </c>
      <c r="K502" s="42">
        <f t="shared" si="35"/>
        <v>2567771.8899999997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1484202.43</v>
      </c>
      <c r="G506" s="144">
        <v>143465.53</v>
      </c>
      <c r="H506" s="144">
        <v>3641.94</v>
      </c>
      <c r="I506" s="144">
        <v>1624026.02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1738808.82+577761.41+653807.25+53910.61+570674.5</f>
        <v>3594962.59</v>
      </c>
      <c r="G520" s="18">
        <v>1322712.44</v>
      </c>
      <c r="H520" s="18">
        <f>144.26+1111903.83+8563.84</f>
        <v>1120611.9300000002</v>
      </c>
      <c r="I520" s="18">
        <f>1973.53+243.73+17222.98</f>
        <v>19440.239999999998</v>
      </c>
      <c r="J520" s="18">
        <v>32413.25</v>
      </c>
      <c r="K520" s="18">
        <v>150</v>
      </c>
      <c r="L520" s="88">
        <f>SUM(F520:K520)</f>
        <v>6090290.4499999993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832690.28+117828+337661.06+31661.79+335158.04</f>
        <v>1654999.1700000002</v>
      </c>
      <c r="G521" s="18">
        <v>776831.12</v>
      </c>
      <c r="H521" s="18">
        <f>84.73+227736.89</f>
        <v>227821.62000000002</v>
      </c>
      <c r="I521" s="18">
        <f>10115.09+2326.55+143.15</f>
        <v>12584.789999999999</v>
      </c>
      <c r="J521" s="18">
        <v>19036.36</v>
      </c>
      <c r="K521" s="18"/>
      <c r="L521" s="88">
        <f>SUM(F521:K521)</f>
        <v>2691273.06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5262806.43+3447.63</f>
        <v>5266254.0599999996</v>
      </c>
      <c r="I522" s="18">
        <v>6202.89</v>
      </c>
      <c r="J522" s="18">
        <v>83646.8</v>
      </c>
      <c r="K522" s="18">
        <v>1000</v>
      </c>
      <c r="L522" s="88">
        <f>SUM(F522:K522)</f>
        <v>5357103.7499999991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5249961.76</v>
      </c>
      <c r="G523" s="108">
        <f t="shared" ref="G523:L523" si="36">SUM(G520:G522)</f>
        <v>2099543.56</v>
      </c>
      <c r="H523" s="108">
        <f t="shared" si="36"/>
        <v>6614687.6099999994</v>
      </c>
      <c r="I523" s="108">
        <f t="shared" si="36"/>
        <v>38227.919999999998</v>
      </c>
      <c r="J523" s="108">
        <f t="shared" si="36"/>
        <v>135096.41</v>
      </c>
      <c r="K523" s="108">
        <f t="shared" si="36"/>
        <v>1150</v>
      </c>
      <c r="L523" s="89">
        <f t="shared" si="36"/>
        <v>14138667.259999998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711849.73</f>
        <v>711849.73</v>
      </c>
      <c r="G525" s="18">
        <f>258819.86</f>
        <v>258819.86</v>
      </c>
      <c r="H525" s="18">
        <f>100802.66+519.15+232749.91+12476.33+5437.62+429.66</f>
        <v>352415.32999999996</v>
      </c>
      <c r="I525" s="18">
        <f>430.98+7671.45+1337.5</f>
        <v>9439.93</v>
      </c>
      <c r="J525" s="18">
        <v>752</v>
      </c>
      <c r="K525" s="18"/>
      <c r="L525" s="88">
        <f>SUM(F525:K525)</f>
        <v>1333276.8499999999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418070.48</f>
        <v>418070.48</v>
      </c>
      <c r="G526" s="18">
        <f>152005.32</f>
        <v>152005.32</v>
      </c>
      <c r="H526" s="18">
        <f>304.9+108226.77+7327.37+3193.53+252.34</f>
        <v>119304.90999999999</v>
      </c>
      <c r="I526" s="18">
        <f>253.12+4505.47+785.53</f>
        <v>5544.12</v>
      </c>
      <c r="J526" s="18"/>
      <c r="K526" s="18"/>
      <c r="L526" s="88">
        <f>SUM(F526:K526)</f>
        <v>694924.83000000007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3398.25+8972.54+67565.48</f>
        <v>79936.26999999999</v>
      </c>
      <c r="G527" s="18">
        <f>2811.08+39166.44</f>
        <v>41977.520000000004</v>
      </c>
      <c r="H527" s="18">
        <f>1975+1291.11+104292.78</f>
        <v>107558.89</v>
      </c>
      <c r="I527" s="18"/>
      <c r="J527" s="18"/>
      <c r="K527" s="18">
        <v>80</v>
      </c>
      <c r="L527" s="88">
        <f>SUM(F527:K527)</f>
        <v>229552.68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1209856.48</v>
      </c>
      <c r="G528" s="89">
        <f t="shared" ref="G528:L528" si="37">SUM(G525:G527)</f>
        <v>452802.7</v>
      </c>
      <c r="H528" s="89">
        <f t="shared" si="37"/>
        <v>579279.12999999989</v>
      </c>
      <c r="I528" s="89">
        <f t="shared" si="37"/>
        <v>14984.05</v>
      </c>
      <c r="J528" s="89">
        <f t="shared" si="37"/>
        <v>752</v>
      </c>
      <c r="K528" s="89">
        <f t="shared" si="37"/>
        <v>80</v>
      </c>
      <c r="L528" s="89">
        <f t="shared" si="37"/>
        <v>2257754.36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338401.21</v>
      </c>
      <c r="G530" s="18">
        <v>159063.01999999999</v>
      </c>
      <c r="H530" s="18"/>
      <c r="I530" s="18"/>
      <c r="J530" s="18"/>
      <c r="K530" s="18"/>
      <c r="L530" s="88">
        <f>SUM(F530:K530)</f>
        <v>497464.23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198743.57</v>
      </c>
      <c r="G531" s="18">
        <v>93417.97</v>
      </c>
      <c r="H531" s="18"/>
      <c r="I531" s="18"/>
      <c r="J531" s="18"/>
      <c r="K531" s="18"/>
      <c r="L531" s="88">
        <f>SUM(F531:K531)</f>
        <v>292161.54000000004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537144.78</v>
      </c>
      <c r="G533" s="89">
        <f t="shared" ref="G533:L533" si="38">SUM(G530:G532)</f>
        <v>252480.99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789625.77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25970.1</v>
      </c>
      <c r="I535" s="18"/>
      <c r="J535" s="18"/>
      <c r="K535" s="18"/>
      <c r="L535" s="88">
        <f>SUM(F535:K535)</f>
        <v>25970.1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15315.69</v>
      </c>
      <c r="I536" s="18"/>
      <c r="J536" s="18"/>
      <c r="K536" s="18"/>
      <c r="L536" s="88">
        <f>SUM(F536:K536)</f>
        <v>15315.69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25304.19</v>
      </c>
      <c r="I537" s="18"/>
      <c r="J537" s="18"/>
      <c r="K537" s="18"/>
      <c r="L537" s="88">
        <f>SUM(F537:K537)</f>
        <v>25304.19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66589.98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66589.98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163206.8+173534.68</f>
        <v>336741.48</v>
      </c>
      <c r="I540" s="18"/>
      <c r="J540" s="18"/>
      <c r="K540" s="18"/>
      <c r="L540" s="88">
        <f>SUM(F540:K540)</f>
        <v>336741.48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104232.91+62178.54</f>
        <v>166411.45000000001</v>
      </c>
      <c r="I541" s="18"/>
      <c r="J541" s="18"/>
      <c r="K541" s="18"/>
      <c r="L541" s="88">
        <f>SUM(F541:K541)</f>
        <v>166411.45000000001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189722.21+329546.29</f>
        <v>519268.5</v>
      </c>
      <c r="I542" s="18"/>
      <c r="J542" s="18"/>
      <c r="K542" s="18"/>
      <c r="L542" s="88">
        <f>SUM(F542:K542)</f>
        <v>519268.5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1022421.4299999999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1022421.4299999999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6996963.0200000005</v>
      </c>
      <c r="G544" s="89">
        <f t="shared" ref="G544:L544" si="41">G523+G528+G533+G538+G543</f>
        <v>2804827.25</v>
      </c>
      <c r="H544" s="89">
        <f t="shared" si="41"/>
        <v>8282978.1499999994</v>
      </c>
      <c r="I544" s="89">
        <f t="shared" si="41"/>
        <v>53211.97</v>
      </c>
      <c r="J544" s="89">
        <f t="shared" si="41"/>
        <v>135848.41</v>
      </c>
      <c r="K544" s="89">
        <f t="shared" si="41"/>
        <v>1230</v>
      </c>
      <c r="L544" s="89">
        <f t="shared" si="41"/>
        <v>18275058.799999997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6090290.4499999993</v>
      </c>
      <c r="G548" s="87">
        <f>L525</f>
        <v>1333276.8499999999</v>
      </c>
      <c r="H548" s="87">
        <f>L530</f>
        <v>497464.23</v>
      </c>
      <c r="I548" s="87">
        <f>L535</f>
        <v>25970.1</v>
      </c>
      <c r="J548" s="87">
        <f>L540</f>
        <v>336741.48</v>
      </c>
      <c r="K548" s="87">
        <f>SUM(F548:J548)</f>
        <v>8283743.1099999994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2691273.06</v>
      </c>
      <c r="G549" s="87">
        <f>L526</f>
        <v>694924.83000000007</v>
      </c>
      <c r="H549" s="87">
        <f>L531</f>
        <v>292161.54000000004</v>
      </c>
      <c r="I549" s="87">
        <f>L536</f>
        <v>15315.69</v>
      </c>
      <c r="J549" s="87">
        <f>L541</f>
        <v>166411.45000000001</v>
      </c>
      <c r="K549" s="87">
        <f>SUM(F549:J549)</f>
        <v>3860086.5700000003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5357103.7499999991</v>
      </c>
      <c r="G550" s="87">
        <f>L527</f>
        <v>229552.68</v>
      </c>
      <c r="H550" s="87">
        <f>L532</f>
        <v>0</v>
      </c>
      <c r="I550" s="87">
        <f>L537</f>
        <v>25304.19</v>
      </c>
      <c r="J550" s="87">
        <f>L542</f>
        <v>519268.5</v>
      </c>
      <c r="K550" s="87">
        <f>SUM(F550:J550)</f>
        <v>6131229.1199999992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14138667.259999998</v>
      </c>
      <c r="G551" s="89">
        <f t="shared" si="42"/>
        <v>2257754.36</v>
      </c>
      <c r="H551" s="89">
        <f t="shared" si="42"/>
        <v>789625.77</v>
      </c>
      <c r="I551" s="89">
        <f t="shared" si="42"/>
        <v>66589.98</v>
      </c>
      <c r="J551" s="89">
        <f t="shared" si="42"/>
        <v>1022421.4299999999</v>
      </c>
      <c r="K551" s="89">
        <f t="shared" si="42"/>
        <v>18275058.799999997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113933.7</v>
      </c>
      <c r="G561" s="18">
        <v>35216</v>
      </c>
      <c r="H561" s="18">
        <v>203.49</v>
      </c>
      <c r="I561" s="18">
        <v>898.01</v>
      </c>
      <c r="J561" s="18"/>
      <c r="K561" s="18"/>
      <c r="L561" s="88">
        <f>SUM(F561:K561)</f>
        <v>150251.20000000001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66913.45</v>
      </c>
      <c r="G562" s="18">
        <v>20682.41</v>
      </c>
      <c r="H562" s="18">
        <v>119.51</v>
      </c>
      <c r="I562" s="18">
        <v>527.4</v>
      </c>
      <c r="J562" s="18"/>
      <c r="K562" s="18"/>
      <c r="L562" s="88">
        <f>SUM(F562:K562)</f>
        <v>88242.76999999999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180847.15</v>
      </c>
      <c r="G564" s="89">
        <f t="shared" si="44"/>
        <v>55898.41</v>
      </c>
      <c r="H564" s="89">
        <f t="shared" si="44"/>
        <v>323</v>
      </c>
      <c r="I564" s="89">
        <f t="shared" si="44"/>
        <v>1425.4099999999999</v>
      </c>
      <c r="J564" s="89">
        <f t="shared" si="44"/>
        <v>0</v>
      </c>
      <c r="K564" s="89">
        <f t="shared" si="44"/>
        <v>0</v>
      </c>
      <c r="L564" s="89">
        <f t="shared" si="44"/>
        <v>238493.97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297333.63</v>
      </c>
      <c r="G566" s="18">
        <f>33598.7+91550.82+21119.82</f>
        <v>146269.34</v>
      </c>
      <c r="H566" s="18">
        <v>755.37</v>
      </c>
      <c r="I566" s="18">
        <v>843.56</v>
      </c>
      <c r="J566" s="18">
        <v>0</v>
      </c>
      <c r="K566" s="18">
        <v>106.47</v>
      </c>
      <c r="L566" s="88">
        <f>SUM(F566:K566)</f>
        <v>445308.36999999994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199946</v>
      </c>
      <c r="G567" s="18">
        <v>91194.71</v>
      </c>
      <c r="H567" s="18">
        <v>443.63</v>
      </c>
      <c r="I567" s="18">
        <v>495.42</v>
      </c>
      <c r="J567" s="18">
        <v>0</v>
      </c>
      <c r="K567" s="18">
        <v>62.53</v>
      </c>
      <c r="L567" s="88">
        <f>SUM(F567:K567)</f>
        <v>292142.29000000004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497279.63</v>
      </c>
      <c r="G569" s="194">
        <f t="shared" ref="G569:L569" si="45">SUM(G566:G568)</f>
        <v>237464.05</v>
      </c>
      <c r="H569" s="194">
        <f t="shared" si="45"/>
        <v>1199</v>
      </c>
      <c r="I569" s="194">
        <f t="shared" si="45"/>
        <v>1338.98</v>
      </c>
      <c r="J569" s="194">
        <f t="shared" si="45"/>
        <v>0</v>
      </c>
      <c r="K569" s="194">
        <f t="shared" si="45"/>
        <v>169</v>
      </c>
      <c r="L569" s="194">
        <f t="shared" si="45"/>
        <v>737450.65999999992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678126.78</v>
      </c>
      <c r="G570" s="89">
        <f t="shared" ref="G570:L570" si="46">G559+G564+G569</f>
        <v>293362.45999999996</v>
      </c>
      <c r="H570" s="89">
        <f t="shared" si="46"/>
        <v>1522</v>
      </c>
      <c r="I570" s="89">
        <f t="shared" si="46"/>
        <v>2764.39</v>
      </c>
      <c r="J570" s="89">
        <f t="shared" si="46"/>
        <v>0</v>
      </c>
      <c r="K570" s="89">
        <f t="shared" si="46"/>
        <v>169</v>
      </c>
      <c r="L570" s="89">
        <f t="shared" si="46"/>
        <v>975944.62999999989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20372679.710000001</v>
      </c>
      <c r="I576" s="87">
        <f t="shared" si="47"/>
        <v>20372679.710000001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272">
        <v>1111903.83</v>
      </c>
      <c r="G578" s="272">
        <v>227736.89</v>
      </c>
      <c r="H578" s="272">
        <v>1178769.0900000001</v>
      </c>
      <c r="I578" s="87">
        <f t="shared" si="47"/>
        <v>2518409.8100000005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4084037.34</v>
      </c>
      <c r="I580" s="87">
        <f t="shared" si="47"/>
        <v>4084037.34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619659.64-11236.59</f>
        <v>608423.05000000005</v>
      </c>
      <c r="I590" s="18">
        <v>615104.69999999995</v>
      </c>
      <c r="J590" s="18">
        <v>561486.4</v>
      </c>
      <c r="K590" s="104">
        <f t="shared" ref="K590:K596" si="48">SUM(H590:J590)</f>
        <v>1785014.15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336741.48</v>
      </c>
      <c r="I591" s="18">
        <v>166411.45000000001</v>
      </c>
      <c r="J591" s="18">
        <v>519268.5</v>
      </c>
      <c r="K591" s="104">
        <f t="shared" si="48"/>
        <v>1022421.4299999999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8949.23+12228.52</f>
        <v>21177.75</v>
      </c>
      <c r="J593" s="18"/>
      <c r="K593" s="104">
        <f t="shared" si="48"/>
        <v>21177.75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2649.15</v>
      </c>
      <c r="I594" s="18">
        <v>1555.85</v>
      </c>
      <c r="J594" s="18"/>
      <c r="K594" s="104">
        <f t="shared" si="48"/>
        <v>4205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947813.68</v>
      </c>
      <c r="I597" s="108">
        <f>SUM(I590:I596)</f>
        <v>804249.74999999988</v>
      </c>
      <c r="J597" s="108">
        <f>SUM(J590:J596)</f>
        <v>1080754.8999999999</v>
      </c>
      <c r="K597" s="108">
        <f>SUM(K590:K596)</f>
        <v>2832818.33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72833.009999999995</v>
      </c>
      <c r="I603" s="18">
        <f>7390.46+5143.14</f>
        <v>12533.6</v>
      </c>
      <c r="J603" s="18"/>
      <c r="K603" s="104">
        <f>SUM(H603:J603)</f>
        <v>85366.61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72833.009999999995</v>
      </c>
      <c r="I604" s="108">
        <f>SUM(I601:I603)</f>
        <v>12533.6</v>
      </c>
      <c r="J604" s="108">
        <f>SUM(J601:J603)</f>
        <v>0</v>
      </c>
      <c r="K604" s="108">
        <f>SUM(K601:K603)</f>
        <v>85366.61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5253951.87</v>
      </c>
      <c r="H616" s="109">
        <f>SUM(F51)</f>
        <v>5253951.87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306642.71000000002</v>
      </c>
      <c r="H617" s="109">
        <f>SUM(G51)</f>
        <v>306642.71000000002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8285.15</v>
      </c>
      <c r="H618" s="109">
        <f>SUM(H51)</f>
        <v>8285.15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361886.93</v>
      </c>
      <c r="H620" s="109">
        <f>SUM(J51)</f>
        <v>361886.93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4131396.3</v>
      </c>
      <c r="H621" s="109">
        <f>F475</f>
        <v>4131396.3000000119</v>
      </c>
      <c r="I621" s="121" t="s">
        <v>101</v>
      </c>
      <c r="J621" s="109">
        <f t="shared" ref="J621:J654" si="50">G621-H621</f>
        <v>-1.2107193470001221E-8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278769.02</v>
      </c>
      <c r="H622" s="109">
        <f>G475</f>
        <v>278769.02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8285.15</v>
      </c>
      <c r="H623" s="109">
        <f>H475</f>
        <v>8285.1499999999069</v>
      </c>
      <c r="I623" s="121" t="s">
        <v>103</v>
      </c>
      <c r="J623" s="109">
        <f t="shared" si="50"/>
        <v>9.276845958083868E-11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361886.93</v>
      </c>
      <c r="H625" s="109">
        <f>J475</f>
        <v>361886.93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72043603.789999992</v>
      </c>
      <c r="H626" s="104">
        <f>SUM(F467)</f>
        <v>72043603.790000007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1425429.52</v>
      </c>
      <c r="H627" s="104">
        <f>SUM(G467)</f>
        <v>1425429.52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2527753.5299999998</v>
      </c>
      <c r="H628" s="104">
        <f>SUM(H467)</f>
        <v>2527753.5300000003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2538.2199999999998</v>
      </c>
      <c r="H630" s="104">
        <f>SUM(J467)</f>
        <v>2538.2199999999998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72709956.019999996</v>
      </c>
      <c r="H631" s="104">
        <f>SUM(F471)</f>
        <v>72709956.019999996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2526776.7200000002</v>
      </c>
      <c r="H632" s="104">
        <f>SUM(H471)</f>
        <v>2526776.7200000002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666635.92999999993</v>
      </c>
      <c r="H633" s="104">
        <f>I368</f>
        <v>666635.93000000005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1374159.06</v>
      </c>
      <c r="H634" s="104">
        <f>SUM(G471)</f>
        <v>1374159.06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2538.2199999999998</v>
      </c>
      <c r="H636" s="164">
        <f>SUM(J467)</f>
        <v>2538.2199999999998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361886.93</v>
      </c>
      <c r="H638" s="104">
        <f>SUM(F460)</f>
        <v>361886.93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361886.93</v>
      </c>
      <c r="H641" s="104">
        <f>SUM(I460)</f>
        <v>361886.93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2538.2199999999998</v>
      </c>
      <c r="H643" s="104">
        <f>H407</f>
        <v>2538.2199999999998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2538.2199999999998</v>
      </c>
      <c r="H645" s="104">
        <f>L407</f>
        <v>2538.2199999999998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2832818.33</v>
      </c>
      <c r="H646" s="104">
        <f>L207+L225+L243</f>
        <v>2832818.33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85366.61</v>
      </c>
      <c r="H647" s="104">
        <f>(J256+J337)-(J254+J335)</f>
        <v>85366.61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947813.68</v>
      </c>
      <c r="H648" s="104">
        <f>H597</f>
        <v>947813.68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804249.75</v>
      </c>
      <c r="H649" s="104">
        <f>I597</f>
        <v>804249.74999999988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1080754.8999999999</v>
      </c>
      <c r="H650" s="104">
        <f>J597</f>
        <v>1080754.8999999999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29798076.730000004</v>
      </c>
      <c r="G659" s="19">
        <f>(L228+L308+L358)</f>
        <v>17166865.709999997</v>
      </c>
      <c r="H659" s="19">
        <f>(L246+L327+L359)</f>
        <v>26973786.229999997</v>
      </c>
      <c r="I659" s="19">
        <f>SUM(F659:H659)</f>
        <v>73938728.669999987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496829.61535369948</v>
      </c>
      <c r="G660" s="19">
        <f>(L358/IF(SUM(L357:L359)=0,1,SUM(L357:L359))*(SUM(G96:G109)))</f>
        <v>341949.72464630048</v>
      </c>
      <c r="H660" s="19">
        <f>(L359/IF(SUM(L357:L359)=0,1,SUM(L357:L359))*(SUM(G96:G109)))</f>
        <v>0</v>
      </c>
      <c r="I660" s="19">
        <f>SUM(F660:H660)</f>
        <v>838779.34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947813.68</v>
      </c>
      <c r="G661" s="19">
        <f>(L225+L305)-(J225+J305)</f>
        <v>804249.75</v>
      </c>
      <c r="H661" s="19">
        <f>(L243+L324)-(J243+J324)</f>
        <v>1080754.8999999999</v>
      </c>
      <c r="I661" s="19">
        <f>SUM(F661:H661)</f>
        <v>2832818.33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1184736.8400000001</v>
      </c>
      <c r="G662" s="200">
        <f>SUM(G574:G586)+SUM(I601:I603)+L611</f>
        <v>240270.49000000002</v>
      </c>
      <c r="H662" s="200">
        <f>SUM(H574:H586)+SUM(J601:J603)+L612</f>
        <v>25635486.140000001</v>
      </c>
      <c r="I662" s="19">
        <f>SUM(F662:H662)</f>
        <v>27060493.469999999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27168696.594646305</v>
      </c>
      <c r="G663" s="19">
        <f>G659-SUM(G660:G662)</f>
        <v>15780395.745353697</v>
      </c>
      <c r="H663" s="19">
        <f>H659-SUM(H660:H662)</f>
        <v>257545.18999999762</v>
      </c>
      <c r="I663" s="19">
        <f>I659-SUM(I660:I662)</f>
        <v>43206637.529999986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2149.52</v>
      </c>
      <c r="G664" s="249">
        <v>1313.92</v>
      </c>
      <c r="H664" s="249"/>
      <c r="I664" s="19">
        <f>SUM(F664:H664)</f>
        <v>3463.44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12639.42</v>
      </c>
      <c r="G666" s="19">
        <f>ROUND(G663/G664,2)</f>
        <v>12010.16</v>
      </c>
      <c r="H666" s="19" t="e">
        <f>ROUND(H663/H664,2)</f>
        <v>#DIV/0!</v>
      </c>
      <c r="I666" s="19">
        <f>ROUND(I663/I664,2)</f>
        <v>12475.06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-257545.19</v>
      </c>
      <c r="I668" s="19">
        <f>SUM(F668:H668)</f>
        <v>-257545.19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12639.42</v>
      </c>
      <c r="G671" s="19">
        <f>ROUND((G663+G668)/(G664+G669),2)</f>
        <v>12010.16</v>
      </c>
      <c r="H671" s="19" t="e">
        <f>ROUND((H663+H668)/(H664+H669),2)</f>
        <v>#DIV/0!</v>
      </c>
      <c r="I671" s="19">
        <f>ROUND((I663+I668)/(I664+I669),2)</f>
        <v>12400.7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Derry Cooperative School District SAU #10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12210672.969999999</v>
      </c>
      <c r="C9" s="230">
        <f>'DOE25'!G196+'DOE25'!G214+'DOE25'!G232+'DOE25'!G275+'DOE25'!G294+'DOE25'!G313</f>
        <v>6048220.54</v>
      </c>
    </row>
    <row r="10" spans="1:3" x14ac:dyDescent="0.2">
      <c r="A10" t="s">
        <v>779</v>
      </c>
      <c r="B10" s="241">
        <v>11762007.9</v>
      </c>
      <c r="C10" s="241">
        <v>5982513.2400000002</v>
      </c>
    </row>
    <row r="11" spans="1:3" x14ac:dyDescent="0.2">
      <c r="A11" t="s">
        <v>780</v>
      </c>
      <c r="B11" s="241">
        <v>448665.07</v>
      </c>
      <c r="C11" s="241">
        <f>34322.87+31384.43</f>
        <v>65707.3</v>
      </c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12210672.970000001</v>
      </c>
      <c r="C13" s="232">
        <f>SUM(C10:C12)</f>
        <v>6048220.54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5022256</v>
      </c>
      <c r="C18" s="230">
        <f>'DOE25'!G197+'DOE25'!G215+'DOE25'!G233+'DOE25'!G276+'DOE25'!G295+'DOE25'!G314</f>
        <v>2119874.16</v>
      </c>
    </row>
    <row r="19" spans="1:3" x14ac:dyDescent="0.2">
      <c r="A19" t="s">
        <v>779</v>
      </c>
      <c r="B19" s="241">
        <f>3282112.88+530532.85</f>
        <v>3812645.73</v>
      </c>
      <c r="C19" s="241">
        <v>2027338.98</v>
      </c>
    </row>
    <row r="20" spans="1:3" x14ac:dyDescent="0.2">
      <c r="A20" t="s">
        <v>780</v>
      </c>
      <c r="B20" s="241">
        <v>1209610.27</v>
      </c>
      <c r="C20" s="241">
        <v>92535.18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5022256</v>
      </c>
      <c r="C22" s="232">
        <f>SUM(C19:C21)</f>
        <v>2119874.16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208575.11000000002</v>
      </c>
      <c r="C36" s="236">
        <f>'DOE25'!G199+'DOE25'!G217+'DOE25'!G235+'DOE25'!G278+'DOE25'!G297+'DOE25'!G316</f>
        <v>34089.17</v>
      </c>
    </row>
    <row r="37" spans="1:3" x14ac:dyDescent="0.2">
      <c r="A37" t="s">
        <v>779</v>
      </c>
      <c r="B37" s="241">
        <v>54786.33</v>
      </c>
      <c r="C37" s="241">
        <v>8337.48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153788.78</v>
      </c>
      <c r="C39" s="241">
        <v>25751.69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208575.11</v>
      </c>
      <c r="C40" s="232">
        <f>SUM(C37:C39)</f>
        <v>34089.17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Derry Cooperative School District SAU #10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52789140.280000001</v>
      </c>
      <c r="D5" s="20">
        <f>SUM('DOE25'!L196:L199)+SUM('DOE25'!L214:L217)+SUM('DOE25'!L232:L235)-F5-G5</f>
        <v>52774955.900000006</v>
      </c>
      <c r="E5" s="244"/>
      <c r="F5" s="256">
        <f>SUM('DOE25'!J196:J199)+SUM('DOE25'!J214:J217)+SUM('DOE25'!J232:J235)</f>
        <v>8284.0499999999993</v>
      </c>
      <c r="G5" s="53">
        <f>SUM('DOE25'!K196:K199)+SUM('DOE25'!K214:K217)+SUM('DOE25'!K232:K235)</f>
        <v>5900.33</v>
      </c>
      <c r="H5" s="260"/>
    </row>
    <row r="6" spans="1:9" x14ac:dyDescent="0.2">
      <c r="A6" s="32">
        <v>2100</v>
      </c>
      <c r="B6" t="s">
        <v>801</v>
      </c>
      <c r="C6" s="246">
        <f t="shared" si="0"/>
        <v>5017280.7299999995</v>
      </c>
      <c r="D6" s="20">
        <f>'DOE25'!L201+'DOE25'!L219+'DOE25'!L237-F6-G6</f>
        <v>5017280.7299999995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1054434.6499999999</v>
      </c>
      <c r="D7" s="20">
        <f>'DOE25'!L202+'DOE25'!L220+'DOE25'!L238-F7-G7</f>
        <v>1016751.07</v>
      </c>
      <c r="E7" s="244"/>
      <c r="F7" s="256">
        <f>'DOE25'!J202+'DOE25'!J220+'DOE25'!J238</f>
        <v>36873.58</v>
      </c>
      <c r="G7" s="53">
        <f>'DOE25'!K202+'DOE25'!K220+'DOE25'!K238</f>
        <v>810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347855.7</v>
      </c>
      <c r="D8" s="244"/>
      <c r="E8" s="20">
        <f>'DOE25'!L203+'DOE25'!L221+'DOE25'!L239-F8-G8-D9-D11</f>
        <v>332651.91000000003</v>
      </c>
      <c r="F8" s="256">
        <f>'DOE25'!J203+'DOE25'!J221+'DOE25'!J239</f>
        <v>0</v>
      </c>
      <c r="G8" s="53">
        <f>'DOE25'!K203+'DOE25'!K221+'DOE25'!K239</f>
        <v>15203.789999999999</v>
      </c>
      <c r="H8" s="260"/>
    </row>
    <row r="9" spans="1:9" x14ac:dyDescent="0.2">
      <c r="A9" s="32">
        <v>2310</v>
      </c>
      <c r="B9" t="s">
        <v>818</v>
      </c>
      <c r="C9" s="246">
        <f t="shared" si="0"/>
        <v>21191.200000000001</v>
      </c>
      <c r="D9" s="245">
        <f>13643.08+1000.86+188.34+6358.92</f>
        <v>21191.200000000001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32250</v>
      </c>
      <c r="D10" s="244"/>
      <c r="E10" s="245">
        <v>32250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536081.12</v>
      </c>
      <c r="D11" s="245">
        <v>536081.12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2926025.49</v>
      </c>
      <c r="D12" s="20">
        <f>'DOE25'!L204+'DOE25'!L222+'DOE25'!L240-F12-G12</f>
        <v>2879248.2100000004</v>
      </c>
      <c r="E12" s="244"/>
      <c r="F12" s="256">
        <f>'DOE25'!J204+'DOE25'!J222+'DOE25'!J240</f>
        <v>35065.839999999997</v>
      </c>
      <c r="G12" s="53">
        <f>'DOE25'!K204+'DOE25'!K222+'DOE25'!K240</f>
        <v>11711.439999999999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424782.88</v>
      </c>
      <c r="D13" s="244"/>
      <c r="E13" s="20">
        <f>'DOE25'!L205+'DOE25'!L223+'DOE25'!L241-F13-G13</f>
        <v>422439.12</v>
      </c>
      <c r="F13" s="256">
        <f>'DOE25'!J205+'DOE25'!J223+'DOE25'!J241</f>
        <v>0</v>
      </c>
      <c r="G13" s="53">
        <f>'DOE25'!K205+'DOE25'!K223+'DOE25'!K241</f>
        <v>2343.7600000000002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4061439.04</v>
      </c>
      <c r="D14" s="20">
        <f>'DOE25'!L206+'DOE25'!L224+'DOE25'!L242-F14-G14</f>
        <v>4061439.04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2832818.33</v>
      </c>
      <c r="D15" s="20">
        <f>'DOE25'!L207+'DOE25'!L225+'DOE25'!L243-F15-G15</f>
        <v>2832818.33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101387.79999999999</v>
      </c>
      <c r="D16" s="244"/>
      <c r="E16" s="20">
        <f>'DOE25'!L208+'DOE25'!L226+'DOE25'!L244-F16-G16</f>
        <v>101387.79999999999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90628.17</v>
      </c>
      <c r="D17" s="20">
        <f>'DOE25'!L250-F17-G17</f>
        <v>90628.17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2506890.63</v>
      </c>
      <c r="D25" s="244"/>
      <c r="E25" s="244"/>
      <c r="F25" s="259"/>
      <c r="G25" s="257"/>
      <c r="H25" s="258">
        <f>'DOE25'!L259+'DOE25'!L260+'DOE25'!L340+'DOE25'!L341</f>
        <v>2506890.63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762165.37</v>
      </c>
      <c r="D29" s="20">
        <f>'DOE25'!L357+'DOE25'!L358+'DOE25'!L359-'DOE25'!I366-F29-G29</f>
        <v>744321.37</v>
      </c>
      <c r="E29" s="244"/>
      <c r="F29" s="256">
        <f>'DOE25'!J357+'DOE25'!J358+'DOE25'!J359</f>
        <v>16849</v>
      </c>
      <c r="G29" s="53">
        <f>'DOE25'!K357+'DOE25'!K358+'DOE25'!K359</f>
        <v>995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2526776.7200000002</v>
      </c>
      <c r="D31" s="20">
        <f>'DOE25'!L289+'DOE25'!L308+'DOE25'!L327+'DOE25'!L332+'DOE25'!L333+'DOE25'!L334-F31-G31</f>
        <v>2520912.27</v>
      </c>
      <c r="E31" s="244"/>
      <c r="F31" s="256">
        <f>'DOE25'!J289+'DOE25'!J308+'DOE25'!J327+'DOE25'!J332+'DOE25'!J333+'DOE25'!J334</f>
        <v>5143.1400000000003</v>
      </c>
      <c r="G31" s="53">
        <f>'DOE25'!K289+'DOE25'!K308+'DOE25'!K327+'DOE25'!K332+'DOE25'!K333+'DOE25'!K334</f>
        <v>721.31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72495627.410000011</v>
      </c>
      <c r="E33" s="247">
        <f>SUM(E5:E31)</f>
        <v>888728.83000000007</v>
      </c>
      <c r="F33" s="247">
        <f>SUM(F5:F31)</f>
        <v>102215.61</v>
      </c>
      <c r="G33" s="247">
        <f>SUM(G5:G31)</f>
        <v>37685.629999999997</v>
      </c>
      <c r="H33" s="247">
        <f>SUM(H5:H31)</f>
        <v>2506890.63</v>
      </c>
    </row>
    <row r="35" spans="2:8" ht="12" thickBot="1" x14ac:dyDescent="0.25">
      <c r="B35" s="254" t="s">
        <v>847</v>
      </c>
      <c r="D35" s="255">
        <f>E33</f>
        <v>888728.83000000007</v>
      </c>
      <c r="E35" s="250"/>
    </row>
    <row r="36" spans="2:8" ht="12" thickTop="1" x14ac:dyDescent="0.2">
      <c r="B36" t="s">
        <v>815</v>
      </c>
      <c r="D36" s="20">
        <f>D33</f>
        <v>72495627.410000011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 SAU #10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4143789.71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898212.59</v>
      </c>
      <c r="D11" s="95">
        <f>'DOE25'!G12</f>
        <v>207397.78</v>
      </c>
      <c r="E11" s="95">
        <f>'DOE25'!H12</f>
        <v>8285.15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141753.25</v>
      </c>
      <c r="D12" s="95">
        <f>'DOE25'!G13</f>
        <v>33005.089999999997</v>
      </c>
      <c r="E12" s="95">
        <f>'DOE25'!H13</f>
        <v>0</v>
      </c>
      <c r="F12" s="95">
        <f>'DOE25'!I13</f>
        <v>0</v>
      </c>
      <c r="G12" s="95">
        <f>'DOE25'!J13</f>
        <v>361886.93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37985.67</v>
      </c>
      <c r="D13" s="95">
        <f>'DOE25'!G14</f>
        <v>3245.01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32210.65</v>
      </c>
      <c r="D15" s="95">
        <f>'DOE25'!G16</f>
        <v>62069.829999999994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5253951.87</v>
      </c>
      <c r="D18" s="41">
        <f>SUM(D8:D17)</f>
        <v>306642.71000000002</v>
      </c>
      <c r="E18" s="41">
        <f>SUM(E8:E17)</f>
        <v>8285.15</v>
      </c>
      <c r="F18" s="41">
        <f>SUM(F8:F17)</f>
        <v>0</v>
      </c>
      <c r="G18" s="41">
        <f>SUM(G8:G17)</f>
        <v>361886.93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250991.28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562626.81000000006</v>
      </c>
      <c r="D23" s="95">
        <f>'DOE25'!G24</f>
        <v>1029.72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279187.48</v>
      </c>
      <c r="D27" s="95">
        <f>'DOE25'!G28</f>
        <v>1863.2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29750</v>
      </c>
      <c r="D29" s="95">
        <f>'DOE25'!G30</f>
        <v>24980.77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1122555.57</v>
      </c>
      <c r="D31" s="41">
        <f>SUM(D21:D30)</f>
        <v>27873.690000000002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32210.65</v>
      </c>
      <c r="D34" s="95">
        <f>'DOE25'!G35</f>
        <v>62069.83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216699.19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33000</v>
      </c>
      <c r="D46" s="95">
        <f>'DOE25'!G47</f>
        <v>0</v>
      </c>
      <c r="E46" s="95">
        <f>'DOE25'!H47</f>
        <v>8285.15</v>
      </c>
      <c r="F46" s="95">
        <f>'DOE25'!I47</f>
        <v>0</v>
      </c>
      <c r="G46" s="95">
        <f>'DOE25'!J47</f>
        <v>361886.93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488113.37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3578072.28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4131396.3</v>
      </c>
      <c r="D49" s="41">
        <f>SUM(D34:D48)</f>
        <v>278769.02</v>
      </c>
      <c r="E49" s="41">
        <f>SUM(E34:E48)</f>
        <v>8285.15</v>
      </c>
      <c r="F49" s="41">
        <f>SUM(F34:F48)</f>
        <v>0</v>
      </c>
      <c r="G49" s="41">
        <f>SUM(G34:G48)</f>
        <v>361886.93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5253951.87</v>
      </c>
      <c r="D50" s="41">
        <f>D49+D31</f>
        <v>306642.71000000002</v>
      </c>
      <c r="E50" s="41">
        <f>E49+E31</f>
        <v>8285.15</v>
      </c>
      <c r="F50" s="41">
        <f>F49+F31</f>
        <v>0</v>
      </c>
      <c r="G50" s="41">
        <f>G49+G31</f>
        <v>361886.93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35353911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533512.61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5546.13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2538.2199999999998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838779.34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275711.40000000002</v>
      </c>
      <c r="D60" s="95">
        <f>SUM('DOE25'!G97:G109)</f>
        <v>0</v>
      </c>
      <c r="E60" s="95">
        <f>SUM('DOE25'!H97:H109)</f>
        <v>50131.14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814770.14</v>
      </c>
      <c r="D61" s="130">
        <f>SUM(D56:D60)</f>
        <v>838779.34</v>
      </c>
      <c r="E61" s="130">
        <f>SUM(E56:E60)</f>
        <v>50131.14</v>
      </c>
      <c r="F61" s="130">
        <f>SUM(F56:F60)</f>
        <v>0</v>
      </c>
      <c r="G61" s="130">
        <f>SUM(G56:G60)</f>
        <v>2538.2199999999998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36168681.140000001</v>
      </c>
      <c r="D62" s="22">
        <f>D55+D61</f>
        <v>838779.34</v>
      </c>
      <c r="E62" s="22">
        <f>E55+E61</f>
        <v>50131.14</v>
      </c>
      <c r="F62" s="22">
        <f>F55+F61</f>
        <v>0</v>
      </c>
      <c r="G62" s="22">
        <f>G55+G61</f>
        <v>2538.2199999999998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27171284.890000001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6123642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23542.11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33318469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734659.09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537053.34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18168.96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1271712.43</v>
      </c>
      <c r="D77" s="130">
        <f>SUM(D71:D76)</f>
        <v>18168.96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34590181.43</v>
      </c>
      <c r="D80" s="130">
        <f>SUM(D78:D79)+D77+D69</f>
        <v>18168.96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719056.62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565684.6</v>
      </c>
      <c r="D87" s="95">
        <f>SUM('DOE25'!G152:G160)</f>
        <v>568481.22</v>
      </c>
      <c r="E87" s="95">
        <f>SUM('DOE25'!H152:H160)</f>
        <v>2477622.3899999997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1284741.22</v>
      </c>
      <c r="D90" s="131">
        <f>SUM(D84:D89)</f>
        <v>568481.22</v>
      </c>
      <c r="E90" s="131">
        <f>SUM(E84:E89)</f>
        <v>2477622.3899999997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72043603.789999992</v>
      </c>
      <c r="D103" s="86">
        <f>D62+D80+D90+D102</f>
        <v>1425429.52</v>
      </c>
      <c r="E103" s="86">
        <f>E62+E80+E90+E102</f>
        <v>2527753.5299999998</v>
      </c>
      <c r="F103" s="86">
        <f>F62+F80+F90+F102</f>
        <v>0</v>
      </c>
      <c r="G103" s="86">
        <f>G62+G80+G102</f>
        <v>2538.2199999999998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38748611.450000003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13757675.82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282853.01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90628.17</v>
      </c>
      <c r="D113" s="24" t="s">
        <v>289</v>
      </c>
      <c r="E113" s="95">
        <f>+ SUM('DOE25'!L332:L334)</f>
        <v>74644.33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52879768.450000003</v>
      </c>
      <c r="D114" s="86">
        <f>SUM(D108:D113)</f>
        <v>0</v>
      </c>
      <c r="E114" s="86">
        <f>SUM(E108:E113)</f>
        <v>74644.33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5017280.7299999995</v>
      </c>
      <c r="D117" s="24" t="s">
        <v>289</v>
      </c>
      <c r="E117" s="95">
        <f>+('DOE25'!L280)+('DOE25'!L299)+('DOE25'!L318)</f>
        <v>2452132.39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1054434.6499999999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905128.02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2926025.49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424782.88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4061439.04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2832818.33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101387.79999999999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1374159.06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17323296.940000001</v>
      </c>
      <c r="D127" s="86">
        <f>SUM(D117:D126)</f>
        <v>1374159.06</v>
      </c>
      <c r="E127" s="86">
        <f>SUM(E117:E126)</f>
        <v>2452132.39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1785000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721890.63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2538.2199999999998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-2538.2199999999998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2506890.63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72709956.019999996</v>
      </c>
      <c r="D144" s="86">
        <f>(D114+D127+D143)</f>
        <v>1374159.06</v>
      </c>
      <c r="E144" s="86">
        <f>(E114+E127+E143)</f>
        <v>2526776.7200000002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20</v>
      </c>
      <c r="E150" s="153">
        <f>'DOE25'!I489</f>
        <v>10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02/94</v>
      </c>
      <c r="C151" s="152" t="str">
        <f>'DOE25'!G490</f>
        <v>02/94</v>
      </c>
      <c r="D151" s="152" t="str">
        <f>'DOE25'!H490</f>
        <v>07/03</v>
      </c>
      <c r="E151" s="152" t="str">
        <f>'DOE25'!I490</f>
        <v>01/11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06/14</v>
      </c>
      <c r="C152" s="152" t="str">
        <f>'DOE25'!G491</f>
        <v>06/14</v>
      </c>
      <c r="D152" s="152" t="str">
        <f>'DOE25'!H491</f>
        <v>07/23</v>
      </c>
      <c r="E152" s="152" t="str">
        <f>'DOE25'!I491</f>
        <v>07/19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6375000</v>
      </c>
      <c r="C153" s="137">
        <f>'DOE25'!G492</f>
        <v>2125000</v>
      </c>
      <c r="D153" s="137">
        <f>'DOE25'!H492</f>
        <v>23959000</v>
      </c>
      <c r="E153" s="137">
        <f>'DOE25'!I492</f>
        <v>2355000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5.3</v>
      </c>
      <c r="D154" s="137">
        <f>'DOE25'!H493</f>
        <v>3.75</v>
      </c>
      <c r="E154" s="137">
        <f>'DOE25'!I493</f>
        <v>2.2200000000000002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960000</v>
      </c>
      <c r="C155" s="137">
        <f>'DOE25'!G494</f>
        <v>315000</v>
      </c>
      <c r="D155" s="137">
        <f>'DOE25'!H494</f>
        <v>15600000</v>
      </c>
      <c r="E155" s="137">
        <f>'DOE25'!I494</f>
        <v>2355000</v>
      </c>
      <c r="F155" s="137">
        <f>'DOE25'!J494</f>
        <v>0</v>
      </c>
      <c r="G155" s="138">
        <f>SUM(B155:F155)</f>
        <v>19230000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320000</v>
      </c>
      <c r="C157" s="137">
        <f>'DOE25'!G496</f>
        <v>105000</v>
      </c>
      <c r="D157" s="137">
        <f>'DOE25'!H496</f>
        <v>1200000</v>
      </c>
      <c r="E157" s="137">
        <f>'DOE25'!I496</f>
        <v>160000</v>
      </c>
      <c r="F157" s="137">
        <f>'DOE25'!J496</f>
        <v>0</v>
      </c>
      <c r="G157" s="138">
        <f t="shared" si="0"/>
        <v>1785000</v>
      </c>
    </row>
    <row r="158" spans="1:9" x14ac:dyDescent="0.2">
      <c r="A158" s="22" t="s">
        <v>35</v>
      </c>
      <c r="B158" s="137">
        <f>'DOE25'!F497</f>
        <v>640000</v>
      </c>
      <c r="C158" s="137">
        <f>'DOE25'!G497</f>
        <v>210000</v>
      </c>
      <c r="D158" s="137">
        <f>'DOE25'!H497</f>
        <v>14400000</v>
      </c>
      <c r="E158" s="137">
        <f>'DOE25'!I497</f>
        <v>2195000</v>
      </c>
      <c r="F158" s="137">
        <f>'DOE25'!J497</f>
        <v>0</v>
      </c>
      <c r="G158" s="138">
        <f t="shared" si="0"/>
        <v>17445000</v>
      </c>
    </row>
    <row r="159" spans="1:9" x14ac:dyDescent="0.2">
      <c r="A159" s="22" t="s">
        <v>36</v>
      </c>
      <c r="B159" s="137">
        <f>'DOE25'!F498</f>
        <v>36800</v>
      </c>
      <c r="C159" s="137">
        <f>'DOE25'!G498</f>
        <v>12337.51</v>
      </c>
      <c r="D159" s="137">
        <f>'DOE25'!H498</f>
        <v>3526500</v>
      </c>
      <c r="E159" s="137">
        <f>'DOE25'!I498</f>
        <v>273196.90000000002</v>
      </c>
      <c r="F159" s="137">
        <f>'DOE25'!J498</f>
        <v>0</v>
      </c>
      <c r="G159" s="138">
        <f t="shared" si="0"/>
        <v>3848834.4099999997</v>
      </c>
    </row>
    <row r="160" spans="1:9" x14ac:dyDescent="0.2">
      <c r="A160" s="22" t="s">
        <v>37</v>
      </c>
      <c r="B160" s="137">
        <f>'DOE25'!F499</f>
        <v>676800</v>
      </c>
      <c r="C160" s="137">
        <f>'DOE25'!G499</f>
        <v>222337.51</v>
      </c>
      <c r="D160" s="137">
        <f>'DOE25'!H499</f>
        <v>17926500</v>
      </c>
      <c r="E160" s="137">
        <f>'DOE25'!I499</f>
        <v>2468196.9</v>
      </c>
      <c r="F160" s="137">
        <f>'DOE25'!J499</f>
        <v>0</v>
      </c>
      <c r="G160" s="138">
        <f t="shared" si="0"/>
        <v>21293834.41</v>
      </c>
    </row>
    <row r="161" spans="1:7" x14ac:dyDescent="0.2">
      <c r="A161" s="22" t="s">
        <v>38</v>
      </c>
      <c r="B161" s="137">
        <f>'DOE25'!F500</f>
        <v>320000</v>
      </c>
      <c r="C161" s="137">
        <f>'DOE25'!G500</f>
        <v>105000</v>
      </c>
      <c r="D161" s="137">
        <f>'DOE25'!H500</f>
        <v>1200000</v>
      </c>
      <c r="E161" s="137">
        <f>'DOE25'!I500</f>
        <v>295000</v>
      </c>
      <c r="F161" s="137">
        <f>'DOE25'!J500</f>
        <v>0</v>
      </c>
      <c r="G161" s="138">
        <f t="shared" si="0"/>
        <v>1920000</v>
      </c>
    </row>
    <row r="162" spans="1:7" x14ac:dyDescent="0.2">
      <c r="A162" s="22" t="s">
        <v>39</v>
      </c>
      <c r="B162" s="137">
        <f>'DOE25'!F501</f>
        <v>27600</v>
      </c>
      <c r="C162" s="137">
        <f>'DOE25'!G501</f>
        <v>9253.1299999999992</v>
      </c>
      <c r="D162" s="137">
        <f>'DOE25'!H501</f>
        <v>550500</v>
      </c>
      <c r="E162" s="137">
        <f>'DOE25'!I501</f>
        <v>60418.76</v>
      </c>
      <c r="F162" s="137">
        <f>'DOE25'!J501</f>
        <v>0</v>
      </c>
      <c r="G162" s="138">
        <f t="shared" si="0"/>
        <v>647771.89</v>
      </c>
    </row>
    <row r="163" spans="1:7" x14ac:dyDescent="0.2">
      <c r="A163" s="22" t="s">
        <v>246</v>
      </c>
      <c r="B163" s="137">
        <f>'DOE25'!F502</f>
        <v>347600</v>
      </c>
      <c r="C163" s="137">
        <f>'DOE25'!G502</f>
        <v>114253.13</v>
      </c>
      <c r="D163" s="137">
        <f>'DOE25'!H502</f>
        <v>1750500</v>
      </c>
      <c r="E163" s="137">
        <f>'DOE25'!I502</f>
        <v>355418.76</v>
      </c>
      <c r="F163" s="137">
        <f>'DOE25'!J502</f>
        <v>0</v>
      </c>
      <c r="G163" s="138">
        <f t="shared" si="0"/>
        <v>2567771.8899999997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9" sqref="C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Derry Cooperative School District SAU #10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12639</v>
      </c>
    </row>
    <row r="5" spans="1:4" x14ac:dyDescent="0.2">
      <c r="B5" t="s">
        <v>704</v>
      </c>
      <c r="C5" s="179">
        <f>IF('DOE25'!G664+'DOE25'!G669=0,0,ROUND('DOE25'!G671,0))</f>
        <v>12010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12401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38748611</v>
      </c>
      <c r="D10" s="182">
        <f>ROUND((C10/$C$28)*100,1)</f>
        <v>52.4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13757676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282853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7469413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1054435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1006516</v>
      </c>
      <c r="D17" s="182">
        <f t="shared" si="0"/>
        <v>1.4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2926025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424783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4061439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2832818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165273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721891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535379.66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73987112.659999996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73987112.659999996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1785000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35353911</v>
      </c>
      <c r="D35" s="182">
        <f t="shared" ref="D35:D40" si="1">ROUND((C35/$C$41)*100,1)</f>
        <v>47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867439.5</v>
      </c>
      <c r="D36" s="182">
        <f t="shared" si="1"/>
        <v>1.2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33318469</v>
      </c>
      <c r="D37" s="182">
        <f t="shared" si="1"/>
        <v>44.3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1289881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4330845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75160545.5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6" t="s">
        <v>767</v>
      </c>
      <c r="B2" s="287"/>
      <c r="C2" s="287"/>
      <c r="D2" s="287"/>
      <c r="E2" s="287"/>
      <c r="F2" s="294" t="str">
        <f>'DOE25'!A2</f>
        <v>Derry Cooperative School District SAU #10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4"/>
      <c r="O32" s="224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9"/>
      <c r="AB32" s="220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9"/>
      <c r="AO32" s="220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9"/>
      <c r="BB32" s="220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9"/>
      <c r="BO32" s="220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9"/>
      <c r="CB32" s="220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9"/>
      <c r="CO32" s="220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9"/>
      <c r="DB32" s="220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9"/>
      <c r="DO32" s="220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9"/>
      <c r="EB32" s="220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9"/>
      <c r="EO32" s="220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9"/>
      <c r="FB32" s="220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9"/>
      <c r="FO32" s="220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9"/>
      <c r="GB32" s="220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9"/>
      <c r="GO32" s="220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9"/>
      <c r="HB32" s="220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9"/>
      <c r="HO32" s="220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9"/>
      <c r="IB32" s="220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9"/>
      <c r="IO32" s="220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9"/>
      <c r="B33" s="220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9"/>
      <c r="B60" s="220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9"/>
      <c r="B61" s="220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9"/>
      <c r="B62" s="22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9"/>
      <c r="B63" s="220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9"/>
      <c r="B64" s="220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9"/>
      <c r="B65" s="220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9"/>
      <c r="B66" s="220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9"/>
      <c r="B67" s="220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9"/>
      <c r="B68" s="220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9"/>
      <c r="B69" s="220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F0A" sheet="1" objects="1" scenarios="1"/>
  <mergeCells count="223">
    <mergeCell ref="C75:M75"/>
    <mergeCell ref="C76:M76"/>
    <mergeCell ref="C77:M77"/>
    <mergeCell ref="C78:M78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51:M51"/>
    <mergeCell ref="C62:M62"/>
    <mergeCell ref="C63:M63"/>
    <mergeCell ref="C64:M64"/>
    <mergeCell ref="C65:M65"/>
    <mergeCell ref="C52:M52"/>
    <mergeCell ref="C50:M50"/>
    <mergeCell ref="C47:M47"/>
    <mergeCell ref="C48:M48"/>
    <mergeCell ref="C49:M49"/>
    <mergeCell ref="C32:M32"/>
    <mergeCell ref="C30:M30"/>
    <mergeCell ref="C31:M31"/>
    <mergeCell ref="A1:I1"/>
    <mergeCell ref="C3:M3"/>
    <mergeCell ref="C4:M4"/>
    <mergeCell ref="F2:I2"/>
    <mergeCell ref="C9:M9"/>
    <mergeCell ref="C7:M7"/>
    <mergeCell ref="C8:M8"/>
    <mergeCell ref="P29:Z29"/>
    <mergeCell ref="C13:M13"/>
    <mergeCell ref="C14:M14"/>
    <mergeCell ref="C10:M10"/>
    <mergeCell ref="C16:M16"/>
    <mergeCell ref="C17:M17"/>
    <mergeCell ref="C18:M18"/>
    <mergeCell ref="C19:M19"/>
    <mergeCell ref="C15:M15"/>
    <mergeCell ref="C25:M25"/>
    <mergeCell ref="C26:M26"/>
    <mergeCell ref="C27:M27"/>
    <mergeCell ref="C28:M28"/>
    <mergeCell ref="C21:M21"/>
    <mergeCell ref="C22:M22"/>
    <mergeCell ref="C23:M23"/>
    <mergeCell ref="C24:M24"/>
    <mergeCell ref="P31:Z31"/>
    <mergeCell ref="AC31:AM31"/>
    <mergeCell ref="A2:E2"/>
    <mergeCell ref="C20:M20"/>
    <mergeCell ref="P32:Z32"/>
    <mergeCell ref="C61:M61"/>
    <mergeCell ref="C53:M53"/>
    <mergeCell ref="C54:M54"/>
    <mergeCell ref="C55:M55"/>
    <mergeCell ref="C34:M34"/>
    <mergeCell ref="C35:M35"/>
    <mergeCell ref="C36:M36"/>
    <mergeCell ref="BC29:BM29"/>
    <mergeCell ref="BP29:BZ29"/>
    <mergeCell ref="CC29:CM29"/>
    <mergeCell ref="CP29:CZ29"/>
    <mergeCell ref="C11:M11"/>
    <mergeCell ref="C12:M12"/>
    <mergeCell ref="C5:M5"/>
    <mergeCell ref="C6:M6"/>
    <mergeCell ref="DC29:DM29"/>
    <mergeCell ref="AC29:AM29"/>
    <mergeCell ref="AP29:AZ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P38:A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HC32:HM32"/>
    <mergeCell ref="DC32:DM32"/>
    <mergeCell ref="DP32:DZ32"/>
    <mergeCell ref="EC32:EM32"/>
    <mergeCell ref="EP32:EZ32"/>
    <mergeCell ref="FP32:FZ32"/>
    <mergeCell ref="GC32:GM32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HP39:HZ39"/>
    <mergeCell ref="IC39:IM39"/>
    <mergeCell ref="HC39:HM39"/>
    <mergeCell ref="DC39:DM39"/>
    <mergeCell ref="DP39:DZ39"/>
    <mergeCell ref="EC39:EM39"/>
    <mergeCell ref="GC39:GM39"/>
    <mergeCell ref="IC40:IM40"/>
    <mergeCell ref="IP40:IV40"/>
    <mergeCell ref="GC40:GM40"/>
    <mergeCell ref="GP40:GZ40"/>
    <mergeCell ref="HC40:HM40"/>
    <mergeCell ref="BP39:BZ39"/>
    <mergeCell ref="C56:M56"/>
    <mergeCell ref="C57:M57"/>
    <mergeCell ref="C59:M59"/>
    <mergeCell ref="C60:M60"/>
    <mergeCell ref="C58:M58"/>
    <mergeCell ref="P39:Z39"/>
    <mergeCell ref="AC39:AM39"/>
    <mergeCell ref="AP39:AZ39"/>
    <mergeCell ref="C42:M42"/>
    <mergeCell ref="C45:M45"/>
    <mergeCell ref="C46:M46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2012-10-24T12:18:20Z</cp:lastPrinted>
  <dcterms:created xsi:type="dcterms:W3CDTF">1997-12-04T19:04:30Z</dcterms:created>
  <dcterms:modified xsi:type="dcterms:W3CDTF">2012-11-21T14:25:21Z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