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C84" i="2" s="1"/>
  <c r="C90" i="2" s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D102" i="2" s="1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J641" i="1" s="1"/>
  <c r="H641" i="1"/>
  <c r="G642" i="1"/>
  <c r="H642" i="1"/>
  <c r="G643" i="1"/>
  <c r="H643" i="1"/>
  <c r="G644" i="1"/>
  <c r="H644" i="1"/>
  <c r="H646" i="1"/>
  <c r="G648" i="1"/>
  <c r="G649" i="1"/>
  <c r="H649" i="1"/>
  <c r="G650" i="1"/>
  <c r="G651" i="1"/>
  <c r="H651" i="1"/>
  <c r="J651" i="1" s="1"/>
  <c r="G652" i="1"/>
  <c r="H652" i="1"/>
  <c r="G653" i="1"/>
  <c r="H653" i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G80" i="2"/>
  <c r="F77" i="2"/>
  <c r="F80" i="2" s="1"/>
  <c r="F61" i="2"/>
  <c r="F62" i="2" s="1"/>
  <c r="D31" i="2"/>
  <c r="C127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F139" i="1" l="1"/>
  <c r="G570" i="1"/>
  <c r="A22" i="12"/>
  <c r="D50" i="2"/>
  <c r="J653" i="1"/>
  <c r="J652" i="1"/>
  <c r="J649" i="1"/>
  <c r="J648" i="1"/>
  <c r="F544" i="1"/>
  <c r="I433" i="1"/>
  <c r="G433" i="1"/>
  <c r="I191" i="1"/>
  <c r="K433" i="1"/>
  <c r="G133" i="2" s="1"/>
  <c r="G143" i="2" s="1"/>
  <c r="G144" i="2" s="1"/>
  <c r="E90" i="2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C28" i="10" s="1"/>
  <c r="F168" i="1"/>
  <c r="F192" i="1" s="1"/>
  <c r="G626" i="1" s="1"/>
  <c r="J626" i="1" s="1"/>
  <c r="J139" i="1"/>
  <c r="D103" i="2"/>
  <c r="J637" i="1"/>
  <c r="J621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D25" i="10"/>
  <c r="D23" i="10"/>
  <c r="C30" i="10"/>
  <c r="D24" i="10"/>
  <c r="D17" i="10"/>
  <c r="E103" i="2"/>
  <c r="D11" i="10"/>
  <c r="D22" i="10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C6" i="10" s="1"/>
  <c r="D15" i="10"/>
  <c r="D27" i="10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D26" i="10" l="1"/>
  <c r="D19" i="10"/>
  <c r="D18" i="10"/>
  <c r="D16" i="10"/>
  <c r="D13" i="10"/>
  <c r="D12" i="10"/>
  <c r="D20" i="10"/>
  <c r="D21" i="10"/>
  <c r="D10" i="10"/>
  <c r="D28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G636" i="1" l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<sst xmlns="http://schemas.openxmlformats.org/spreadsheetml/2006/main" count="3943" uniqueCount="910">
  <si>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</si>
  <si>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</si>
  <si>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</si>
  <si>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</si>
  <si>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</si>
  <si>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</si>
  <si>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</si>
  <si>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</si>
  <si>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</si>
  <si>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</si>
  <si>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</si>
  <si>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</si>
  <si>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</si>
  <si>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</si>
  <si>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</si>
  <si>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</si>
  <si>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</si>
  <si>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</si>
  <si>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</si>
  <si>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</si>
  <si>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</si>
  <si>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</si>
  <si>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</si>
  <si>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</si>
  <si>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</si>
  <si>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</si>
  <si>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</si>
  <si>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</si>
  <si>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</si>
  <si>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</si>
  <si>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</si>
  <si>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</si>
  <si>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</si>
  <si>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</si>
  <si>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</si>
  <si>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</si>
  <si>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</si>
  <si>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</si>
  <si>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</si>
  <si>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</si>
  <si>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</si>
  <si>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</si>
  <si>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</si>
  <si>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</si>
  <si>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</si>
  <si>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</si>
  <si>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</si>
  <si>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</si>
  <si>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</si>
  <si>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</si>
  <si>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</si>
  <si>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</si>
  <si>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</si>
  <si>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</si>
  <si>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</si>
  <si>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</si>
  <si>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</si>
  <si>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</si>
  <si>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</si>
  <si>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</si>
  <si>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</si>
  <si>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</si>
  <si>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</si>
  <si>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</si>
  <si>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</si>
  <si>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</si>
  <si>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</si>
  <si>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</si>
  <si>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</si>
  <si>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</si>
  <si>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</si>
  <si>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</si>
  <si>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</si>
  <si>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</si>
  <si>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</si>
  <si>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</si>
  <si>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</si>
  <si>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</si>
  <si>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</si>
  <si>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</si>
  <si>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</si>
  <si>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</si>
  <si>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</si>
  <si>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</si>
  <si>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</si>
  <si>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</si>
  <si>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</si>
  <si>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</si>
  <si>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</si>
  <si>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</si>
  <si>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</si>
  <si>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</si>
  <si>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</si>
  <si>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</si>
  <si>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</si>
  <si>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</si>
  <si>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</si>
  <si>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</si>
  <si>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</si>
  <si>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</si>
  <si>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</si>
  <si>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</si>
  <si>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</si>
  <si>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</si>
  <si>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</si>
  <si>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</si>
  <si>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</si>
  <si>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</si>
  <si>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</si>
  <si>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</si>
  <si>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</si>
  <si>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</si>
  <si>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</si>
  <si>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</si>
  <si>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</si>
  <si>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</si>
  <si>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</si>
  <si>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</si>
  <si>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</si>
  <si>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</si>
  <si>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</si>
  <si>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</si>
  <si>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</si>
  <si>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</si>
  <si>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</si>
  <si>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</si>
  <si>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</si>
  <si>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</si>
  <si>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</si>
  <si>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</si>
  <si>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</si>
  <si>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</si>
  <si>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</si>
  <si>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</si>
  <si>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</si>
  <si>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</si>
  <si>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</si>
  <si>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</si>
  <si>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</si>
  <si>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</si>
  <si>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</si>
  <si>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</si>
  <si>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</si>
  <si>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</si>
  <si>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</si>
  <si>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</si>
  <si>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</si>
  <si>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</si>
  <si>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</si>
  <si>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</si>
  <si>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</si>
  <si>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</si>
  <si>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</si>
  <si>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</si>
  <si>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</si>
  <si>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</si>
  <si>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</si>
  <si>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</si>
  <si>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</si>
  <si>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</si>
  <si>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</si>
  <si>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</si>
  <si>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</si>
  <si>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</si>
  <si>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</si>
  <si>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</si>
  <si>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</si>
  <si>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</si>
  <si>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</si>
  <si>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</si>
  <si>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</si>
  <si>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</si>
  <si>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</si>
  <si>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</si>
  <si>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</si>
  <si>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</si>
  <si>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</si>
  <si>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</si>
  <si>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</si>
  <si>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</si>
  <si>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</si>
  <si>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</si>
  <si>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</si>
  <si>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</si>
  <si>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</si>
  <si>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</si>
  <si>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</si>
  <si>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</si>
  <si>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</si>
  <si>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</si>
  <si>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</si>
  <si>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</si>
  <si>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</si>
  <si>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</si>
  <si>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</si>
  <si>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</si>
  <si>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</si>
  <si>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</si>
  <si>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</si>
  <si>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</si>
  <si>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</si>
  <si>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</si>
  <si>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</si>
  <si>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</si>
  <si>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</si>
  <si>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</si>
  <si>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</si>
  <si>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</si>
  <si>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</si>
  <si>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</si>
  <si>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</si>
  <si>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</si>
  <si>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</si>
  <si>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</si>
  <si>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</si>
  <si>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</si>
  <si>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</si>
  <si>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</si>
  <si>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</si>
  <si>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</si>
  <si>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</si>
  <si>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</si>
  <si>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</si>
  <si>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</si>
  <si>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</si>
  <si>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</si>
  <si>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</si>
  <si>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</si>
  <si>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</si>
  <si>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</si>
  <si>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</si>
  <si>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</si>
  <si>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</si>
  <si>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</si>
  <si>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</si>
  <si>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</si>
  <si>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</si>
  <si>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</si>
  <si>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</si>
  <si>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</si>
  <si>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</si>
  <si>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</si>
  <si>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</si>
  <si>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</si>
  <si>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</si>
  <si>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</si>
  <si>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</si>
  <si>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</si>
  <si>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</si>
  <si>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</si>
  <si>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</si>
  <si>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</si>
  <si>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</si>
  <si>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</si>
  <si>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</si>
  <si>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</si>
  <si>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</si>
  <si>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</si>
  <si>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</si>
  <si>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</si>
  <si>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</si>
  <si>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</si>
  <si>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</si>
  <si>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</si>
  <si>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</si>
  <si>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</si>
  <si>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</si>
  <si>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</si>
  <si>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</si>
  <si>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</si>
  <si>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</si>
  <si>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</si>
  <si>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</si>
  <si>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</si>
  <si>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</si>
  <si>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</si>
  <si>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</si>
  <si>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</si>
  <si>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</si>
  <si>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</si>
  <si>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</si>
  <si>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</si>
  <si>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</si>
  <si>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</si>
  <si>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</si>
  <si>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</si>
  <si>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</si>
  <si>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</si>
  <si>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</si>
  <si>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</si>
  <si>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</si>
  <si>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</si>
  <si>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</si>
  <si>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</si>
  <si>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</si>
  <si>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</si>
  <si>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</si>
  <si>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</si>
  <si>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</si>
  <si>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</si>
  <si>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</si>
  <si>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</si>
  <si>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</si>
  <si>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</si>
  <si>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</si>
  <si>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</si>
  <si>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</si>
  <si>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</si>
  <si>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</si>
  <si>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</si>
  <si>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</si>
  <si>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</si>
  <si>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</si>
  <si>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</si>
  <si>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</si>
  <si>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</si>
  <si>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</si>
  <si>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</si>
  <si>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</si>
  <si>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</si>
  <si>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</si>
  <si>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</si>
  <si>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</si>
  <si>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</si>
  <si>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</si>
  <si>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</si>
  <si>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</si>
  <si>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</si>
  <si>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</si>
  <si>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</si>
  <si>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</si>
  <si>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</si>
  <si>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</si>
  <si>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</si>
  <si>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</si>
  <si>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</si>
  <si>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</si>
  <si>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</si>
  <si>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</si>
  <si>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</si>
  <si>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</si>
  <si>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</si>
  <si>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</si>
  <si>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</si>
  <si>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</si>
  <si>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</si>
  <si>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</si>
  <si>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</si>
  <si>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</si>
  <si>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</si>
  <si>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</si>
  <si>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</si>
  <si>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</si>
  <si>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</si>
  <si>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</si>
  <si>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</si>
  <si>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</si>
  <si>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</si>
  <si>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</si>
  <si>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</si>
  <si>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</si>
  <si>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</si>
  <si>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</si>
  <si>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</si>
  <si>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</si>
  <si>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</si>
  <si>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</si>
  <si>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</si>
  <si>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</si>
  <si>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</si>
  <si>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</si>
  <si>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</si>
  <si>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</si>
  <si>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</si>
  <si>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</si>
  <si>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</si>
  <si>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</si>
  <si>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</si>
  <si>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</si>
  <si>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</si>
  <si>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</si>
  <si>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</si>
  <si>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</si>
  <si>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</si>
  <si>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</si>
  <si>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</si>
  <si>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</si>
  <si>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</si>
  <si>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</si>
  <si>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</si>
  <si>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</si>
  <si>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</si>
  <si>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</si>
  <si>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</si>
  <si>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</si>
  <si>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</si>
  <si>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</si>
  <si>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</si>
  <si>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</si>
  <si>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</si>
  <si>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</si>
  <si>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</si>
  <si>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</si>
  <si>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</si>
  <si>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</si>
  <si>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</si>
  <si>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</si>
  <si>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</si>
  <si>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</si>
  <si>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</si>
  <si>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</si>
  <si>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</si>
  <si>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</si>
  <si>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</si>
  <si>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</si>
  <si>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</si>
  <si>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</si>
  <si>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</si>
  <si>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</si>
  <si>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</si>
  <si>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</si>
  <si>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</si>
  <si>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</si>
  <si>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</si>
  <si>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</si>
  <si>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</si>
  <si>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</si>
  <si>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</si>
  <si>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</si>
  <si>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</si>
  <si>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</si>
  <si>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</si>
  <si>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</si>
  <si>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</si>
  <si>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</si>
  <si>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</si>
  <si>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</si>
  <si>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</si>
  <si>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</si>
  <si>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</si>
  <si>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</si>
  <si>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</si>
  <si>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</si>
  <si>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</si>
  <si>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</si>
  <si>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</si>
  <si>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</si>
  <si>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</si>
  <si>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</si>
  <si>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</si>
  <si>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</si>
  <si>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</si>
  <si>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</si>
  <si>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</si>
  <si>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</si>
  <si>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</si>
  <si>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</si>
  <si>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</si>
  <si>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</si>
  <si>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</si>
  <si>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</si>
  <si>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</si>
  <si>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</si>
  <si>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</si>
  <si>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</si>
  <si>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</si>
  <si>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</si>
  <si>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</si>
  <si>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</si>
  <si>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</si>
  <si>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</si>
  <si>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</si>
  <si>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</si>
  <si>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</si>
  <si>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</si>
  <si>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</si>
  <si>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</si>
  <si>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</si>
  <si>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</si>
  <si>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</si>
  <si>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</si>
  <si>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</si>
  <si>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</si>
  <si>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</si>
  <si>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</si>
  <si>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</si>
  <si>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</si>
  <si>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</si>
  <si>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</si>
  <si>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</si>
  <si>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</si>
  <si>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</si>
  <si>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</si>
  <si>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</si>
  <si>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</si>
  <si>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</si>
  <si>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</si>
  <si>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</si>
  <si>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</si>
  <si>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</si>
  <si>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</si>
  <si>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</si>
  <si>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</si>
  <si>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</si>
  <si>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</si>
  <si>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</si>
  <si>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</si>
  <si>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</si>
  <si>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</si>
  <si>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</si>
  <si>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</si>
  <si>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</si>
  <si>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</si>
  <si>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</si>
  <si>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</si>
  <si>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</si>
  <si>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</si>
  <si>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</si>
  <si>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</si>
  <si>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</si>
  <si>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</si>
  <si>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</si>
  <si>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</si>
  <si>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</si>
  <si>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</si>
  <si>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</si>
  <si>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</si>
  <si>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</si>
  <si>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</si>
  <si>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</si>
  <si>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</si>
  <si>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</si>
  <si>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</si>
  <si>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</si>
  <si>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</si>
  <si>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</si>
  <si>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</si>
  <si>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</si>
  <si>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</si>
  <si>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</si>
  <si>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</si>
  <si>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</si>
  <si>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</si>
  <si>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</si>
  <si>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</si>
  <si>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</si>
  <si>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</si>
  <si>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</si>
  <si>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</si>
  <si>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</si>
  <si>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</si>
  <si>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</si>
  <si>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</si>
  <si>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</si>
  <si>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</si>
  <si>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</si>
  <si>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</si>
  <si>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</si>
  <si>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</si>
  <si>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</si>
  <si>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</si>
  <si>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</si>
  <si>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</si>
  <si>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</si>
  <si>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</si>
  <si>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</si>
  <si>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</si>
  <si>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</si>
  <si>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</si>
  <si>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</si>
  <si>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</si>
  <si>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</si>
  <si>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</si>
  <si>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</si>
  <si>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</si>
  <si>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</si>
  <si>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</si>
  <si>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</si>
  <si>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</si>
  <si>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</si>
  <si>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</si>
  <si>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</si>
  <si>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</si>
  <si>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</si>
  <si>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</si>
  <si>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</si>
  <si>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</si>
  <si>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</si>
  <si>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</si>
  <si>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</si>
  <si>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</si>
  <si>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</si>
  <si>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</si>
  <si>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</si>
  <si>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</si>
  <si>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</si>
  <si>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</si>
  <si>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</si>
  <si>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</si>
  <si>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</si>
  <si>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</si>
  <si>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</si>
  <si>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</si>
  <si>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</si>
  <si>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</si>
  <si>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</si>
  <si>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</si>
  <si>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</si>
  <si>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</si>
  <si>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</si>
  <si>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</si>
  <si>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</si>
  <si>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</si>
  <si>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</si>
  <si>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</si>
  <si>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</si>
  <si>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</si>
  <si>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</si>
  <si>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</si>
  <si>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</si>
  <si>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</si>
  <si>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</si>
  <si>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</si>
  <si>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</si>
  <si>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</si>
  <si>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</si>
  <si>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</si>
  <si>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</si>
  <si>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</si>
  <si>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</si>
  <si>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</si>
  <si>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</si>
  <si>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</si>
  <si>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</si>
  <si>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</si>
  <si>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</si>
  <si>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</si>
  <si>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</si>
  <si>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</si>
  <si>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</si>
  <si>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</si>
  <si>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</si>
  <si>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</si>
  <si>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</si>
  <si>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</si>
  <si>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</si>
  <si>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</si>
  <si>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</si>
  <si>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</si>
  <si>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</si>
  <si>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</si>
  <si>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</si>
  <si>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</si>
  <si>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</si>
  <si>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</si>
  <si>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</si>
  <si>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</si>
  <si>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</si>
  <si>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</si>
  <si>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</si>
  <si>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</si>
  <si>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</si>
  <si>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</si>
  <si>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</si>
  <si>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</si>
  <si>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</si>
  <si>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</si>
  <si>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</si>
  <si>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</si>
  <si>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</si>
  <si>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</si>
  <si>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</si>
  <si>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</si>
  <si>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</si>
  <si>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</si>
  <si>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</si>
  <si>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</si>
  <si>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</si>
  <si>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</si>
  <si>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</si>
  <si>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</si>
  <si>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</si>
  <si>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</si>
  <si>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</si>
  <si>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</si>
  <si>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</si>
  <si>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</si>
  <si>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</si>
  <si>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</si>
  <si>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</si>
  <si>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</si>
  <si>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</si>
  <si>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</si>
  <si>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</si>
  <si>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</si>
  <si>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</si>
  <si>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</si>
  <si>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</si>
  <si>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</si>
  <si>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</si>
  <si>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</si>
  <si>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</si>
  <si>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</si>
  <si>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</si>
  <si>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</si>
  <si>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</si>
  <si>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</si>
  <si>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</si>
  <si>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</si>
  <si>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</si>
  <si>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</si>
  <si>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</si>
  <si>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</si>
  <si>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</si>
  <si>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</si>
  <si>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</si>
  <si>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</si>
  <si>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</si>
  <si>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</si>
  <si>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</si>
  <si>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</si>
  <si>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</si>
  <si>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</si>
  <si>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</si>
  <si>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</si>
  <si>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</si>
  <si>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</si>
  <si>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</si>
  <si>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</si>
  <si>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</si>
  <si>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</si>
  <si>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</si>
  <si>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</si>
  <si>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</si>
  <si>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</si>
  <si>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</si>
  <si>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</si>
  <si>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</si>
  <si>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</si>
  <si>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</si>
  <si>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</si>
  <si>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</si>
  <si>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</si>
  <si>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</si>
  <si>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</si>
  <si>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</si>
  <si>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</si>
  <si>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</si>
  <si>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</si>
  <si>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</si>
  <si>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</si>
  <si>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</si>
  <si>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</si>
  <si>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</si>
  <si>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</si>
  <si>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</si>
  <si>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</si>
  <si>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</si>
  <si>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</si>
  <si>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</si>
  <si>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</si>
  <si>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</si>
  <si>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</si>
  <si>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</si>
  <si>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</si>
  <si>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</si>
  <si>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</si>
  <si>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</si>
  <si>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</si>
  <si>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</si>
  <si>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</si>
  <si>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</si>
  <si>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</si>
  <si>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</si>
  <si>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</si>
  <si>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</si>
  <si>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</si>
  <si>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</si>
  <si>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</si>
  <si>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</si>
  <si>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</si>
  <si>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</si>
  <si>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</si>
  <si>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</si>
  <si>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</si>
  <si>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</si>
  <si>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</si>
  <si>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</si>
  <si>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</si>
  <si>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</si>
  <si>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</si>
  <si>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</si>
  <si>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</si>
  <si>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</si>
  <si>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</si>
  <si>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</si>
  <si>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</si>
  <si>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</si>
  <si>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</si>
  <si>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</si>
  <si>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</si>
  <si>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</si>
  <si>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</si>
  <si>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</si>
  <si>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</si>
  <si>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</si>
  <si>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</si>
  <si>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</si>
  <si>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</si>
  <si>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</si>
  <si>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</si>
  <si>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</si>
  <si>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</si>
  <si>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</si>
  <si>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</si>
  <si>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</si>
  <si>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</si>
  <si>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</si>
  <si>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</si>
  <si>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</si>
  <si>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</si>
  <si>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</si>
  <si>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</si>
  <si>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</si>
  <si>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</si>
  <si>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</si>
  <si>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</si>
  <si>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</si>
  <si>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</si>
  <si>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</si>
  <si>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</si>
  <si>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</si>
  <si>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</si>
  <si>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</si>
  <si>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</si>
  <si>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</si>
  <si>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</si>
  <si>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</si>
  <si>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</si>
  <si>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</si>
  <si>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</si>
  <si>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</si>
  <si>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</si>
  <si>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</si>
  <si>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</si>
  <si>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</si>
  <si>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</si>
  <si>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</si>
  <si>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</si>
  <si>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</si>
  <si>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</si>
  <si>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</si>
  <si>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</si>
  <si>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</si>
  <si>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</si>
  <si>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</si>
  <si>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</si>
  <si>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</si>
  <si>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</si>
  <si>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</si>
  <si>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</si>
  <si>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</si>
  <si>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</si>
  <si>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</si>
  <si>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</si>
  <si>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</si>
  <si>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</si>
  <si>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</si>
  <si>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</si>
  <si>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</si>
  <si>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</si>
  <si>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</si>
  <si>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</si>
  <si>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</si>
  <si>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</si>
  <si>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</si>
  <si>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</si>
  <si>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</si>
  <si>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</si>
  <si>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</si>
  <si>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</si>
  <si>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</si>
  <si>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</si>
  <si>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</si>
  <si>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</si>
  <si>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</si>
  <si>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</si>
  <si>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</si>
  <si>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</si>
  <si>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</si>
  <si>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</si>
  <si>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</si>
  <si>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</si>
  <si>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</si>
  <si>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</si>
  <si>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</si>
  <si>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</si>
  <si>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</si>
  <si>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</si>
  <si>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</si>
  <si>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</si>
  <si>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</si>
  <si>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</si>
  <si>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</si>
  <si>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</si>
  <si>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</si>
  <si>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</si>
  <si>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</si>
  <si>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</si>
  <si>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Dresden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</si>
</sst>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142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375752.06</v>
      </c>
      <c r="G9" s="18"/>
      <c r="H9" s="18"/>
      <c r="I9" s="18"/>
      <c r="J9" s="67">
        <f>SUM(I438)</f>
        <v>26235.61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56125.57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40476.21</v>
      </c>
      <c r="G13" s="18">
        <v>3859.73</v>
      </c>
      <c r="H13" s="18">
        <v>33276.47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50240.47</v>
      </c>
      <c r="G14" s="18">
        <v>1609.43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18094.43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484563.17</v>
      </c>
      <c r="G19" s="41">
        <f>SUM(G9:G18)</f>
        <v>5469.16</v>
      </c>
      <c r="H19" s="41">
        <f>SUM(H9:H18)</f>
        <v>33276.47</v>
      </c>
      <c r="I19" s="41">
        <f>SUM(I9:I18)</f>
        <v>0</v>
      </c>
      <c r="J19" s="41">
        <f>SUM(J9:J18)</f>
        <v>82361.179999999993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-23626.53</v>
      </c>
      <c r="G22" s="18">
        <v>-23098.85</v>
      </c>
      <c r="H22" s="18">
        <v>4096.8999999999996</v>
      </c>
      <c r="I22" s="18">
        <v>88143.06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66021.69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-287.8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9559.17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53760.41</v>
      </c>
      <c r="G31" s="18">
        <v>0</v>
      </c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95867.77</v>
      </c>
      <c r="G32" s="41">
        <f>SUM(G22:G31)</f>
        <v>-13539.679999999998</v>
      </c>
      <c r="H32" s="41">
        <f>SUM(H22:H31)</f>
        <v>4096.8999999999996</v>
      </c>
      <c r="I32" s="41">
        <f>SUM(I22:I31)</f>
        <v>88143.06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19008.84</v>
      </c>
      <c r="H47" s="18">
        <v>29179.57</v>
      </c>
      <c r="I47" s="18">
        <v>-88143.06</v>
      </c>
      <c r="J47" s="13">
        <f>SUM(I458)</f>
        <v>82361.180000000008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388695.4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388695.4</v>
      </c>
      <c r="G50" s="41">
        <f>SUM(G35:G49)</f>
        <v>19008.84</v>
      </c>
      <c r="H50" s="41">
        <f>SUM(H35:H49)</f>
        <v>29179.57</v>
      </c>
      <c r="I50" s="41">
        <f>SUM(I35:I49)</f>
        <v>-88143.06</v>
      </c>
      <c r="J50" s="41">
        <f>SUM(J35:J49)</f>
        <v>82361.180000000008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484563.17000000004</v>
      </c>
      <c r="G51" s="41">
        <f>G50+G32</f>
        <v>5469.1600000000017</v>
      </c>
      <c r="H51" s="41">
        <f>H50+H32</f>
        <v>33276.47</v>
      </c>
      <c r="I51" s="41">
        <f>I50+I32</f>
        <v>0</v>
      </c>
      <c r="J51" s="41">
        <f>J50+J32</f>
        <v>82361.180000000008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14930727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14930727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168650.16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91529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3027351.5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602985.52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3890516.18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4730.6899999999996</v>
      </c>
      <c r="G95" s="18"/>
      <c r="H95" s="18"/>
      <c r="I95" s="18"/>
      <c r="J95" s="18">
        <v>-403.6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497096.33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171513.51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34875.800000000003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49100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100000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7705.11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12262.52</v>
      </c>
      <c r="G109" s="18">
        <v>220.47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331087.63</v>
      </c>
      <c r="G110" s="41">
        <f>SUM(G95:G109)</f>
        <v>497316.8</v>
      </c>
      <c r="H110" s="41">
        <f>SUM(H95:H109)</f>
        <v>49100</v>
      </c>
      <c r="I110" s="41">
        <f>SUM(I95:I109)</f>
        <v>0</v>
      </c>
      <c r="J110" s="41">
        <f>SUM(J95:J109)</f>
        <v>-403.6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19152330.809999999</v>
      </c>
      <c r="G111" s="41">
        <f>G59+G110</f>
        <v>497316.8</v>
      </c>
      <c r="H111" s="41">
        <f>H59+H78+H93+H110</f>
        <v>49100</v>
      </c>
      <c r="I111" s="41">
        <f>I59+I110</f>
        <v>0</v>
      </c>
      <c r="J111" s="41">
        <f>J59+J110</f>
        <v>-403.6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2453919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8561.64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2462480.64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570181.56999999995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9891.94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25208.129999999997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>
        <v>2485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605281.6399999999</v>
      </c>
      <c r="G135" s="41">
        <f>SUM(G122:G134)</f>
        <v>0</v>
      </c>
      <c r="H135" s="41">
        <f>SUM(H122:H134)</f>
        <v>2485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3067762.2800000003</v>
      </c>
      <c r="G139" s="41">
        <f>G120+SUM(G135:G136)</f>
        <v>0</v>
      </c>
      <c r="H139" s="41">
        <f>H120+SUM(H135:H138)</f>
        <v>2485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50262.46</v>
      </c>
      <c r="G145" s="18"/>
      <c r="H145" s="18">
        <v>16247.65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50262.46</v>
      </c>
      <c r="G146" s="41">
        <f>SUM(G144:G145)</f>
        <v>0</v>
      </c>
      <c r="H146" s="41">
        <f>SUM(H144:H145)</f>
        <v>16247.65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14462.21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1524.38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190121.15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1524.38</v>
      </c>
      <c r="H161" s="41">
        <f>SUM(H149:H160)</f>
        <v>204583.36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2995.19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53257.65</v>
      </c>
      <c r="G168" s="41">
        <f>G146+G161+SUM(G162:G167)</f>
        <v>1524.38</v>
      </c>
      <c r="H168" s="41">
        <f>H146+H161+SUM(H162:H167)</f>
        <v>220831.00999999998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34897.58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34897.58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34897.58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22273350.739999998</v>
      </c>
      <c r="G192" s="47">
        <f>G111+G139+G168+G191</f>
        <v>533738.76</v>
      </c>
      <c r="H192" s="47">
        <f>H111+H139+H168+H191</f>
        <v>272416.01</v>
      </c>
      <c r="I192" s="47">
        <f>I111+I139+I168+I191</f>
        <v>0</v>
      </c>
      <c r="J192" s="47">
        <f>J111+J139+J191</f>
        <v>-403.6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2251778.56</v>
      </c>
      <c r="G196" s="18">
        <v>705865.1</v>
      </c>
      <c r="H196" s="18">
        <v>41927.279999999999</v>
      </c>
      <c r="I196" s="18">
        <v>65983.59</v>
      </c>
      <c r="J196" s="18">
        <v>66069.899999999994</v>
      </c>
      <c r="K196" s="18">
        <v>0</v>
      </c>
      <c r="L196" s="19">
        <f>SUM(F196:K196)</f>
        <v>3131624.4299999997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745598.95</v>
      </c>
      <c r="G197" s="18">
        <v>381909.65</v>
      </c>
      <c r="H197" s="18">
        <v>41256.699999999997</v>
      </c>
      <c r="I197" s="18">
        <v>3515.04</v>
      </c>
      <c r="J197" s="18">
        <v>1355.94</v>
      </c>
      <c r="K197" s="18">
        <v>0</v>
      </c>
      <c r="L197" s="19">
        <f>SUM(F197:K197)</f>
        <v>1173636.28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12400</v>
      </c>
      <c r="G199" s="18">
        <v>1206.3699999999999</v>
      </c>
      <c r="H199" s="18">
        <v>7513.23</v>
      </c>
      <c r="I199" s="18">
        <v>0</v>
      </c>
      <c r="J199" s="18">
        <v>0</v>
      </c>
      <c r="K199" s="18">
        <v>0</v>
      </c>
      <c r="L199" s="19">
        <f>SUM(F199:K199)</f>
        <v>21119.599999999999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214451.95</v>
      </c>
      <c r="G201" s="18">
        <v>92223.54</v>
      </c>
      <c r="H201" s="18">
        <v>1021.77</v>
      </c>
      <c r="I201" s="18">
        <v>2570.8200000000002</v>
      </c>
      <c r="J201" s="18">
        <v>0</v>
      </c>
      <c r="K201" s="18">
        <v>0</v>
      </c>
      <c r="L201" s="19">
        <f t="shared" ref="L201:L207" si="0">SUM(F201:K201)</f>
        <v>310268.08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83090.66</v>
      </c>
      <c r="G202" s="18">
        <v>94109.55</v>
      </c>
      <c r="H202" s="18">
        <v>13309.15</v>
      </c>
      <c r="I202" s="18">
        <v>29436.16</v>
      </c>
      <c r="J202" s="18">
        <v>3032.24</v>
      </c>
      <c r="K202" s="18">
        <v>0</v>
      </c>
      <c r="L202" s="19">
        <f t="shared" si="0"/>
        <v>222977.76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4419.62</v>
      </c>
      <c r="G203" s="18">
        <v>335.17</v>
      </c>
      <c r="H203" s="18">
        <v>256808.5</v>
      </c>
      <c r="I203" s="18">
        <v>0</v>
      </c>
      <c r="J203" s="18">
        <v>0</v>
      </c>
      <c r="K203" s="18">
        <v>2810.22</v>
      </c>
      <c r="L203" s="19">
        <f t="shared" si="0"/>
        <v>264373.51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260692.63</v>
      </c>
      <c r="G204" s="18">
        <v>324959.08</v>
      </c>
      <c r="H204" s="18">
        <v>21815.83</v>
      </c>
      <c r="I204" s="18">
        <v>2445.02</v>
      </c>
      <c r="J204" s="18">
        <v>0</v>
      </c>
      <c r="K204" s="18">
        <v>538</v>
      </c>
      <c r="L204" s="19">
        <f t="shared" si="0"/>
        <v>610450.55999999994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296686.98</v>
      </c>
      <c r="G206" s="18">
        <v>117871.22</v>
      </c>
      <c r="H206" s="18">
        <v>95944.34</v>
      </c>
      <c r="I206" s="18">
        <v>92021.67</v>
      </c>
      <c r="J206" s="18">
        <v>6414.94</v>
      </c>
      <c r="K206" s="18">
        <v>0</v>
      </c>
      <c r="L206" s="19">
        <f t="shared" si="0"/>
        <v>608939.14999999991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10744.41</v>
      </c>
      <c r="I207" s="18">
        <v>0</v>
      </c>
      <c r="J207" s="18">
        <v>0</v>
      </c>
      <c r="K207" s="18">
        <v>0</v>
      </c>
      <c r="L207" s="19">
        <f t="shared" si="0"/>
        <v>10744.41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3869119.35</v>
      </c>
      <c r="G210" s="41">
        <f t="shared" si="1"/>
        <v>1718479.6800000002</v>
      </c>
      <c r="H210" s="41">
        <f t="shared" si="1"/>
        <v>490341.21</v>
      </c>
      <c r="I210" s="41">
        <f t="shared" si="1"/>
        <v>195972.3</v>
      </c>
      <c r="J210" s="41">
        <f t="shared" si="1"/>
        <v>76873.02</v>
      </c>
      <c r="K210" s="41">
        <f t="shared" si="1"/>
        <v>3348.22</v>
      </c>
      <c r="L210" s="41">
        <f t="shared" si="1"/>
        <v>6354133.7799999993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4324682.88</v>
      </c>
      <c r="G232" s="18">
        <v>1402724.04</v>
      </c>
      <c r="H232" s="18">
        <v>47509.39</v>
      </c>
      <c r="I232" s="18">
        <v>128669.09</v>
      </c>
      <c r="J232" s="18">
        <v>42761.8</v>
      </c>
      <c r="K232" s="18">
        <v>1898.84</v>
      </c>
      <c r="L232" s="19">
        <f>SUM(F232:K232)</f>
        <v>5948246.0399999991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930711.57</v>
      </c>
      <c r="G233" s="18">
        <v>444599.07</v>
      </c>
      <c r="H233" s="18">
        <v>94037.56</v>
      </c>
      <c r="I233" s="18">
        <v>5893.45</v>
      </c>
      <c r="J233" s="18">
        <v>0</v>
      </c>
      <c r="K233" s="18">
        <v>0</v>
      </c>
      <c r="L233" s="19">
        <f>SUM(F233:K233)</f>
        <v>1475241.65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20086</v>
      </c>
      <c r="I234" s="18">
        <v>0</v>
      </c>
      <c r="J234" s="18">
        <v>0</v>
      </c>
      <c r="K234" s="18">
        <v>0</v>
      </c>
      <c r="L234" s="19">
        <f>SUM(F234:K234)</f>
        <v>20086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373298.9</v>
      </c>
      <c r="G235" s="18">
        <v>95447.27</v>
      </c>
      <c r="H235" s="18">
        <v>160616.9</v>
      </c>
      <c r="I235" s="18">
        <v>10817.7</v>
      </c>
      <c r="J235" s="18">
        <v>28202.46</v>
      </c>
      <c r="K235" s="18">
        <v>4124</v>
      </c>
      <c r="L235" s="19">
        <f>SUM(F235:K235)</f>
        <v>672507.23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597981.74</v>
      </c>
      <c r="G237" s="18">
        <v>219541.81</v>
      </c>
      <c r="H237" s="18">
        <v>6824.03</v>
      </c>
      <c r="I237" s="18">
        <v>7499.67</v>
      </c>
      <c r="J237" s="18">
        <v>0</v>
      </c>
      <c r="K237" s="18">
        <v>25</v>
      </c>
      <c r="L237" s="19">
        <f t="shared" ref="L237:L243" si="4">SUM(F237:K237)</f>
        <v>831872.25000000012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133070.42000000001</v>
      </c>
      <c r="G238" s="18">
        <v>101145.94</v>
      </c>
      <c r="H238" s="18">
        <v>21868.94</v>
      </c>
      <c r="I238" s="18">
        <v>50814.82</v>
      </c>
      <c r="J238" s="18">
        <v>98796.78</v>
      </c>
      <c r="K238" s="18">
        <v>574</v>
      </c>
      <c r="L238" s="19">
        <f t="shared" si="4"/>
        <v>406270.9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8369.1</v>
      </c>
      <c r="G239" s="18">
        <v>634.67999999999995</v>
      </c>
      <c r="H239" s="18">
        <v>486298.3</v>
      </c>
      <c r="I239" s="18">
        <v>0</v>
      </c>
      <c r="J239" s="18">
        <v>0</v>
      </c>
      <c r="K239" s="18">
        <v>5321.49</v>
      </c>
      <c r="L239" s="19">
        <f t="shared" si="4"/>
        <v>500623.57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618732.25</v>
      </c>
      <c r="G240" s="18">
        <v>606765.49</v>
      </c>
      <c r="H240" s="18">
        <v>54521.48</v>
      </c>
      <c r="I240" s="18">
        <v>18575.21</v>
      </c>
      <c r="J240" s="18">
        <v>1771.6</v>
      </c>
      <c r="K240" s="18">
        <v>1689</v>
      </c>
      <c r="L240" s="19">
        <f t="shared" si="4"/>
        <v>1302055.03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532248.93999999994</v>
      </c>
      <c r="G242" s="18">
        <v>203290</v>
      </c>
      <c r="H242" s="18">
        <v>223619.22</v>
      </c>
      <c r="I242" s="18">
        <v>199620.03</v>
      </c>
      <c r="J242" s="18">
        <v>11960.04</v>
      </c>
      <c r="K242" s="18">
        <v>0</v>
      </c>
      <c r="L242" s="19">
        <f t="shared" si="4"/>
        <v>1170738.23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153187.38</v>
      </c>
      <c r="I243" s="18">
        <v>0</v>
      </c>
      <c r="J243" s="18">
        <v>0</v>
      </c>
      <c r="K243" s="18">
        <v>0</v>
      </c>
      <c r="L243" s="19">
        <f t="shared" si="4"/>
        <v>153187.38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7519095.8000000007</v>
      </c>
      <c r="G246" s="41">
        <f t="shared" si="5"/>
        <v>3074148.3</v>
      </c>
      <c r="H246" s="41">
        <f t="shared" si="5"/>
        <v>1268569.2000000002</v>
      </c>
      <c r="I246" s="41">
        <f t="shared" si="5"/>
        <v>421889.97000000003</v>
      </c>
      <c r="J246" s="41">
        <f t="shared" si="5"/>
        <v>183492.68000000002</v>
      </c>
      <c r="K246" s="41">
        <f t="shared" si="5"/>
        <v>13632.33</v>
      </c>
      <c r="L246" s="41">
        <f t="shared" si="5"/>
        <v>12480828.280000001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30145.7</v>
      </c>
      <c r="I254" s="18"/>
      <c r="J254" s="18"/>
      <c r="K254" s="18"/>
      <c r="L254" s="19">
        <f t="shared" si="6"/>
        <v>30145.7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30145.7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30145.7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11388215.15</v>
      </c>
      <c r="G256" s="41">
        <f t="shared" si="8"/>
        <v>4792627.9800000004</v>
      </c>
      <c r="H256" s="41">
        <f t="shared" si="8"/>
        <v>1789056.11</v>
      </c>
      <c r="I256" s="41">
        <f t="shared" si="8"/>
        <v>617862.27</v>
      </c>
      <c r="J256" s="41">
        <f t="shared" si="8"/>
        <v>260365.7</v>
      </c>
      <c r="K256" s="41">
        <f t="shared" si="8"/>
        <v>16980.55</v>
      </c>
      <c r="L256" s="41">
        <f t="shared" si="8"/>
        <v>18865107.760000002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2459844.42</v>
      </c>
      <c r="L259" s="19">
        <f>SUM(F259:K259)</f>
        <v>2459844.42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1018615.86</v>
      </c>
      <c r="L260" s="19">
        <f>SUM(F260:K260)</f>
        <v>1018615.86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34897.58</v>
      </c>
      <c r="L262" s="19">
        <f>SUM(F262:K262)</f>
        <v>34897.58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3513357.86</v>
      </c>
      <c r="L269" s="41">
        <f t="shared" si="9"/>
        <v>3513357.86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11388215.15</v>
      </c>
      <c r="G270" s="42">
        <f t="shared" si="11"/>
        <v>4792627.9800000004</v>
      </c>
      <c r="H270" s="42">
        <f t="shared" si="11"/>
        <v>1789056.11</v>
      </c>
      <c r="I270" s="42">
        <f t="shared" si="11"/>
        <v>617862.27</v>
      </c>
      <c r="J270" s="42">
        <f t="shared" si="11"/>
        <v>260365.7</v>
      </c>
      <c r="K270" s="42">
        <f t="shared" si="11"/>
        <v>3530338.4099999997</v>
      </c>
      <c r="L270" s="42">
        <f t="shared" si="11"/>
        <v>22378465.620000001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0</v>
      </c>
      <c r="G275" s="18">
        <v>9207.23</v>
      </c>
      <c r="H275" s="18">
        <v>0</v>
      </c>
      <c r="I275" s="18">
        <v>0</v>
      </c>
      <c r="J275" s="18">
        <v>0</v>
      </c>
      <c r="K275" s="18">
        <v>0</v>
      </c>
      <c r="L275" s="19">
        <f>SUM(F275:K275)</f>
        <v>9207.23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102562.8</v>
      </c>
      <c r="G276" s="18">
        <v>1835</v>
      </c>
      <c r="H276" s="18">
        <v>0</v>
      </c>
      <c r="I276" s="18">
        <v>420</v>
      </c>
      <c r="J276" s="18">
        <v>0</v>
      </c>
      <c r="K276" s="18">
        <v>0</v>
      </c>
      <c r="L276" s="19">
        <f>SUM(F276:K276)</f>
        <v>104817.8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102562.8</v>
      </c>
      <c r="G289" s="42">
        <f t="shared" si="13"/>
        <v>11042.23</v>
      </c>
      <c r="H289" s="42">
        <f t="shared" si="13"/>
        <v>0</v>
      </c>
      <c r="I289" s="42">
        <f t="shared" si="13"/>
        <v>420</v>
      </c>
      <c r="J289" s="42">
        <f t="shared" si="13"/>
        <v>0</v>
      </c>
      <c r="K289" s="42">
        <f t="shared" si="13"/>
        <v>0</v>
      </c>
      <c r="L289" s="41">
        <f t="shared" si="13"/>
        <v>114025.03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4754.9799999999996</v>
      </c>
      <c r="G313" s="18">
        <v>0</v>
      </c>
      <c r="H313" s="18">
        <v>9985</v>
      </c>
      <c r="I313" s="18">
        <v>500</v>
      </c>
      <c r="J313" s="18">
        <v>0</v>
      </c>
      <c r="K313" s="18">
        <v>0</v>
      </c>
      <c r="L313" s="19">
        <f>SUM(F313:K313)</f>
        <v>15239.98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82275.179999999993</v>
      </c>
      <c r="G314" s="18">
        <v>0</v>
      </c>
      <c r="H314" s="18">
        <v>0</v>
      </c>
      <c r="I314" s="18">
        <v>372</v>
      </c>
      <c r="J314" s="18">
        <v>2656.17</v>
      </c>
      <c r="K314" s="18">
        <v>0</v>
      </c>
      <c r="L314" s="19">
        <f>SUM(F314:K314)</f>
        <v>85303.349999999991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10451.68</v>
      </c>
      <c r="G316" s="18">
        <v>0</v>
      </c>
      <c r="H316" s="18">
        <v>15565.57</v>
      </c>
      <c r="I316" s="18">
        <v>25</v>
      </c>
      <c r="J316" s="18">
        <v>0</v>
      </c>
      <c r="K316" s="18">
        <v>30</v>
      </c>
      <c r="L316" s="19">
        <f>SUM(F316:K316)</f>
        <v>26072.25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97481.84</v>
      </c>
      <c r="G327" s="42">
        <f t="shared" si="17"/>
        <v>0</v>
      </c>
      <c r="H327" s="42">
        <f t="shared" si="17"/>
        <v>25550.57</v>
      </c>
      <c r="I327" s="42">
        <f t="shared" si="17"/>
        <v>897</v>
      </c>
      <c r="J327" s="42">
        <f t="shared" si="17"/>
        <v>2656.17</v>
      </c>
      <c r="K327" s="42">
        <f t="shared" si="17"/>
        <v>30</v>
      </c>
      <c r="L327" s="41">
        <f t="shared" si="17"/>
        <v>126615.57999999999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>
        <v>8747.65</v>
      </c>
      <c r="K335" s="18"/>
      <c r="L335" s="19">
        <f t="shared" si="18"/>
        <v>8747.65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8747.65</v>
      </c>
      <c r="K336" s="41">
        <f t="shared" si="19"/>
        <v>0</v>
      </c>
      <c r="L336" s="41">
        <f t="shared" si="18"/>
        <v>8747.65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200044.64</v>
      </c>
      <c r="G337" s="41">
        <f t="shared" si="20"/>
        <v>11042.23</v>
      </c>
      <c r="H337" s="41">
        <f t="shared" si="20"/>
        <v>25550.57</v>
      </c>
      <c r="I337" s="41">
        <f t="shared" si="20"/>
        <v>1317</v>
      </c>
      <c r="J337" s="41">
        <f t="shared" si="20"/>
        <v>11403.82</v>
      </c>
      <c r="K337" s="41">
        <f t="shared" si="20"/>
        <v>30</v>
      </c>
      <c r="L337" s="41">
        <f t="shared" si="20"/>
        <v>249388.25999999998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200044.64</v>
      </c>
      <c r="G351" s="41">
        <f>G337</f>
        <v>11042.23</v>
      </c>
      <c r="H351" s="41">
        <f>H337</f>
        <v>25550.57</v>
      </c>
      <c r="I351" s="41">
        <f>I337</f>
        <v>1317</v>
      </c>
      <c r="J351" s="41">
        <f>J337</f>
        <v>11403.82</v>
      </c>
      <c r="K351" s="47">
        <f>K337+K350</f>
        <v>30</v>
      </c>
      <c r="L351" s="41">
        <f>L337+L350</f>
        <v>249388.25999999998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81855.62</v>
      </c>
      <c r="G357" s="18">
        <v>30417.530000000002</v>
      </c>
      <c r="H357" s="18">
        <v>253.97</v>
      </c>
      <c r="I357" s="18">
        <v>154507.13</v>
      </c>
      <c r="J357" s="18">
        <v>1735.01</v>
      </c>
      <c r="K357" s="18">
        <v>0</v>
      </c>
      <c r="L357" s="13">
        <f>SUM(F357:K357)</f>
        <v>268769.26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271082.5</v>
      </c>
      <c r="I359" s="18">
        <v>0</v>
      </c>
      <c r="J359" s="18">
        <v>321</v>
      </c>
      <c r="K359" s="18">
        <v>0</v>
      </c>
      <c r="L359" s="19">
        <f>SUM(F359:K359)</f>
        <v>271403.5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81855.62</v>
      </c>
      <c r="G361" s="47">
        <f t="shared" si="22"/>
        <v>30417.530000000002</v>
      </c>
      <c r="H361" s="47">
        <f t="shared" si="22"/>
        <v>271336.46999999997</v>
      </c>
      <c r="I361" s="47">
        <f t="shared" si="22"/>
        <v>154507.13</v>
      </c>
      <c r="J361" s="47">
        <f t="shared" si="22"/>
        <v>2056.0100000000002</v>
      </c>
      <c r="K361" s="47">
        <f t="shared" si="22"/>
        <v>0</v>
      </c>
      <c r="L361" s="47">
        <f t="shared" si="22"/>
        <v>540172.76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145747.65</v>
      </c>
      <c r="G366" s="18">
        <v>0</v>
      </c>
      <c r="H366" s="18">
        <v>0</v>
      </c>
      <c r="I366" s="56">
        <f>SUM(F366:H366)</f>
        <v>145747.65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8759.48</v>
      </c>
      <c r="G367" s="63">
        <v>0</v>
      </c>
      <c r="H367" s="63">
        <v>0</v>
      </c>
      <c r="I367" s="56">
        <f>SUM(F367:H367)</f>
        <v>8759.48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154507.13</v>
      </c>
      <c r="G368" s="47">
        <f>SUM(G366:G367)</f>
        <v>0</v>
      </c>
      <c r="H368" s="47">
        <f>SUM(H366:H367)</f>
        <v>0</v>
      </c>
      <c r="I368" s="47">
        <f>SUM(I366:I367)</f>
        <v>154507.13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-403.59999999999991</v>
      </c>
      <c r="I391" s="18"/>
      <c r="J391" s="24" t="s">
        <v>289</v>
      </c>
      <c r="K391" s="24" t="s">
        <v>289</v>
      </c>
      <c r="L391" s="56">
        <f t="shared" si="25"/>
        <v>-403.59999999999991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-403.59999999999991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-403.59999999999991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0</v>
      </c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-403.59999999999991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-403.59999999999991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>
        <v>480.55</v>
      </c>
      <c r="I413" s="18"/>
      <c r="J413" s="18"/>
      <c r="K413" s="18"/>
      <c r="L413" s="56">
        <f t="shared" si="27"/>
        <v>480.55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>
        <v>387.68</v>
      </c>
      <c r="I417" s="18"/>
      <c r="J417" s="18"/>
      <c r="K417" s="18"/>
      <c r="L417" s="56">
        <f t="shared" si="27"/>
        <v>387.68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868.23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868.23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868.23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868.23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26235.61</v>
      </c>
      <c r="H438" s="18"/>
      <c r="I438" s="56">
        <f t="shared" ref="I438:I444" si="33">SUM(F438:H438)</f>
        <v>26235.61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56125.57</v>
      </c>
      <c r="H440" s="18"/>
      <c r="I440" s="56">
        <f t="shared" si="33"/>
        <v>56125.57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82361.179999999993</v>
      </c>
      <c r="H445" s="13">
        <f>SUM(H438:H444)</f>
        <v>0</v>
      </c>
      <c r="I445" s="13">
        <f>SUM(I438:I444)</f>
        <v>82361.179999999993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82361.180000000008</v>
      </c>
      <c r="H458" s="18"/>
      <c r="I458" s="56">
        <f t="shared" si="34"/>
        <v>82361.180000000008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82361.180000000008</v>
      </c>
      <c r="H459" s="83">
        <f>SUM(H453:H458)</f>
        <v>0</v>
      </c>
      <c r="I459" s="83">
        <f>SUM(I453:I458)</f>
        <v>82361.180000000008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82361.180000000008</v>
      </c>
      <c r="H460" s="42">
        <f>H451+H459</f>
        <v>0</v>
      </c>
      <c r="I460" s="42">
        <f>I451+I459</f>
        <v>82361.180000000008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493810.28</v>
      </c>
      <c r="G464" s="18">
        <v>25442.84</v>
      </c>
      <c r="H464" s="18">
        <v>6151.82</v>
      </c>
      <c r="I464" s="18">
        <v>-88143.06</v>
      </c>
      <c r="J464" s="18">
        <v>83633.009999999995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22273350.739999998</v>
      </c>
      <c r="G467" s="18">
        <v>533738.76</v>
      </c>
      <c r="H467" s="18">
        <v>272416.01</v>
      </c>
      <c r="I467" s="18"/>
      <c r="J467" s="18">
        <v>-403.6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22273350.739999998</v>
      </c>
      <c r="G469" s="53">
        <f>SUM(G467:G468)</f>
        <v>533738.76</v>
      </c>
      <c r="H469" s="53">
        <f>SUM(H467:H468)</f>
        <v>272416.01</v>
      </c>
      <c r="I469" s="53">
        <f>SUM(I467:I468)</f>
        <v>0</v>
      </c>
      <c r="J469" s="53">
        <f>SUM(J467:J468)</f>
        <v>-403.6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22378465.620000001</v>
      </c>
      <c r="G471" s="18">
        <v>540172.76</v>
      </c>
      <c r="H471" s="18">
        <v>249388.26</v>
      </c>
      <c r="I471" s="18"/>
      <c r="J471" s="18">
        <v>868.23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22378465.620000001</v>
      </c>
      <c r="G473" s="53">
        <f>SUM(G471:G472)</f>
        <v>540172.76</v>
      </c>
      <c r="H473" s="53">
        <f>SUM(H471:H472)</f>
        <v>249388.26</v>
      </c>
      <c r="I473" s="53">
        <f>SUM(I471:I472)</f>
        <v>0</v>
      </c>
      <c r="J473" s="53">
        <f>SUM(J471:J472)</f>
        <v>868.23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388695.39999999851</v>
      </c>
      <c r="G475" s="53">
        <f>(G464+G469)- G473</f>
        <v>19008.839999999967</v>
      </c>
      <c r="H475" s="53">
        <f>(H464+H469)- H473</f>
        <v>29179.570000000007</v>
      </c>
      <c r="I475" s="53">
        <f>(I464+I469)- I473</f>
        <v>-88143.06</v>
      </c>
      <c r="J475" s="53">
        <f>(J464+J469)- J473</f>
        <v>82361.179999999993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>
        <v>20</v>
      </c>
      <c r="I489" s="154">
        <v>20</v>
      </c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2532900</v>
      </c>
      <c r="G492" s="18">
        <v>4000000</v>
      </c>
      <c r="H492" s="18">
        <v>38460936</v>
      </c>
      <c r="I492" s="18">
        <v>1100000</v>
      </c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4.08</v>
      </c>
      <c r="G493" s="18">
        <v>4.47</v>
      </c>
      <c r="H493" s="18">
        <v>4.62</v>
      </c>
      <c r="I493" s="18">
        <v>4.71</v>
      </c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1839773</v>
      </c>
      <c r="G494" s="18">
        <v>2410072</v>
      </c>
      <c r="H494" s="18">
        <v>20136404</v>
      </c>
      <c r="I494" s="18">
        <v>605000</v>
      </c>
      <c r="J494" s="18"/>
      <c r="K494" s="53">
        <f>SUM(F494:J494)</f>
        <v>24991249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155411</v>
      </c>
      <c r="G496" s="18">
        <v>225922</v>
      </c>
      <c r="H496" s="18">
        <v>2023511</v>
      </c>
      <c r="I496" s="18">
        <v>55000</v>
      </c>
      <c r="J496" s="18"/>
      <c r="K496" s="53">
        <f t="shared" si="35"/>
        <v>2459844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1684362</v>
      </c>
      <c r="G497" s="205">
        <v>2184150</v>
      </c>
      <c r="H497" s="205">
        <v>18112893</v>
      </c>
      <c r="I497" s="205">
        <v>550000</v>
      </c>
      <c r="J497" s="205"/>
      <c r="K497" s="206">
        <f t="shared" si="35"/>
        <v>22531405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1198113</v>
      </c>
      <c r="G498" s="18">
        <v>1811169</v>
      </c>
      <c r="H498" s="18">
        <v>16881827</v>
      </c>
      <c r="I498" s="18">
        <v>135238</v>
      </c>
      <c r="J498" s="18"/>
      <c r="K498" s="53">
        <f t="shared" si="35"/>
        <v>20026347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2882475</v>
      </c>
      <c r="G499" s="42">
        <f>SUM(G497:G498)</f>
        <v>3995319</v>
      </c>
      <c r="H499" s="42">
        <f>SUM(H497:H498)</f>
        <v>34994720</v>
      </c>
      <c r="I499" s="42">
        <f>SUM(I497:I498)</f>
        <v>685238</v>
      </c>
      <c r="J499" s="42">
        <f>SUM(J497:J498)</f>
        <v>0</v>
      </c>
      <c r="K499" s="42">
        <f t="shared" si="35"/>
        <v>42557752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149091</v>
      </c>
      <c r="G500" s="205">
        <v>217357</v>
      </c>
      <c r="H500" s="205">
        <v>1932763</v>
      </c>
      <c r="I500" s="205">
        <v>55000</v>
      </c>
      <c r="J500" s="205"/>
      <c r="K500" s="206">
        <f t="shared" si="35"/>
        <v>2354211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42915</v>
      </c>
      <c r="G501" s="18">
        <v>91124</v>
      </c>
      <c r="H501" s="18">
        <v>967755</v>
      </c>
      <c r="I501" s="18">
        <v>25259</v>
      </c>
      <c r="J501" s="18"/>
      <c r="K501" s="53">
        <f t="shared" si="35"/>
        <v>1127053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192006</v>
      </c>
      <c r="G502" s="42">
        <f>SUM(G500:G501)</f>
        <v>308481</v>
      </c>
      <c r="H502" s="42">
        <f>SUM(H500:H501)</f>
        <v>2900518</v>
      </c>
      <c r="I502" s="42">
        <f>SUM(I500:I501)</f>
        <v>80259</v>
      </c>
      <c r="J502" s="42">
        <f>SUM(J500:J501)</f>
        <v>0</v>
      </c>
      <c r="K502" s="42">
        <f t="shared" si="35"/>
        <v>3481264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848161.75</v>
      </c>
      <c r="G520" s="18">
        <v>122211.09</v>
      </c>
      <c r="H520" s="18">
        <v>41256.699999999997</v>
      </c>
      <c r="I520" s="18">
        <v>3935.04</v>
      </c>
      <c r="J520" s="18">
        <v>1355.94</v>
      </c>
      <c r="K520" s="18">
        <v>0</v>
      </c>
      <c r="L520" s="88">
        <f>SUM(F520:K520)</f>
        <v>1016920.5199999999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1012986.75</v>
      </c>
      <c r="G522" s="18">
        <v>142271.70000000001</v>
      </c>
      <c r="H522" s="18">
        <v>94037.56</v>
      </c>
      <c r="I522" s="18">
        <v>6265.45</v>
      </c>
      <c r="J522" s="18">
        <v>2656.17</v>
      </c>
      <c r="K522" s="18">
        <v>0</v>
      </c>
      <c r="L522" s="88">
        <f>SUM(F522:K522)</f>
        <v>1258217.6299999999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1861148.5</v>
      </c>
      <c r="G523" s="108">
        <f t="shared" ref="G523:L523" si="36">SUM(G520:G522)</f>
        <v>264482.79000000004</v>
      </c>
      <c r="H523" s="108">
        <f t="shared" si="36"/>
        <v>135294.26</v>
      </c>
      <c r="I523" s="108">
        <f t="shared" si="36"/>
        <v>10200.49</v>
      </c>
      <c r="J523" s="108">
        <f t="shared" si="36"/>
        <v>4012.11</v>
      </c>
      <c r="K523" s="108">
        <f t="shared" si="36"/>
        <v>0</v>
      </c>
      <c r="L523" s="89">
        <f t="shared" si="36"/>
        <v>2275138.15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0</v>
      </c>
      <c r="G525" s="18">
        <v>0</v>
      </c>
      <c r="H525" s="18">
        <v>41101.300000000003</v>
      </c>
      <c r="I525" s="18">
        <v>0</v>
      </c>
      <c r="J525" s="18">
        <v>0</v>
      </c>
      <c r="K525" s="18">
        <v>0</v>
      </c>
      <c r="L525" s="88">
        <f>SUM(F525:K525)</f>
        <v>41101.300000000003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93529.18</v>
      </c>
      <c r="I527" s="18">
        <v>0</v>
      </c>
      <c r="J527" s="18">
        <v>0</v>
      </c>
      <c r="K527" s="18">
        <v>0</v>
      </c>
      <c r="L527" s="88">
        <f>SUM(F527:K527)</f>
        <v>93529.18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134630.47999999998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134630.47999999998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29485</v>
      </c>
      <c r="G530" s="18">
        <v>10096</v>
      </c>
      <c r="H530" s="18">
        <v>974</v>
      </c>
      <c r="I530" s="18">
        <v>0</v>
      </c>
      <c r="J530" s="18">
        <v>0</v>
      </c>
      <c r="K530" s="18">
        <v>0</v>
      </c>
      <c r="L530" s="88">
        <f>SUM(F530:K530)</f>
        <v>40555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56022</v>
      </c>
      <c r="G531" s="18">
        <v>20892</v>
      </c>
      <c r="H531" s="18">
        <v>1851</v>
      </c>
      <c r="I531" s="18">
        <v>0</v>
      </c>
      <c r="J531" s="18">
        <v>0</v>
      </c>
      <c r="K531" s="18">
        <v>0</v>
      </c>
      <c r="L531" s="88">
        <f>SUM(F531:K531)</f>
        <v>78765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85507</v>
      </c>
      <c r="G533" s="89">
        <f t="shared" ref="G533:L533" si="38">SUM(G530:G532)</f>
        <v>30988</v>
      </c>
      <c r="H533" s="89">
        <f t="shared" si="38"/>
        <v>2825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119320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2875.8</v>
      </c>
      <c r="I535" s="18">
        <v>0</v>
      </c>
      <c r="J535" s="18">
        <v>0</v>
      </c>
      <c r="K535" s="18">
        <v>0</v>
      </c>
      <c r="L535" s="88">
        <f>SUM(F535:K535)</f>
        <v>2875.8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5838.75</v>
      </c>
      <c r="I537" s="18">
        <v>0</v>
      </c>
      <c r="J537" s="18">
        <v>0</v>
      </c>
      <c r="K537" s="18">
        <v>0</v>
      </c>
      <c r="L537" s="88">
        <f>SUM(F537:K537)</f>
        <v>5838.75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8714.5499999999993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8714.5499999999993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2552.87</v>
      </c>
      <c r="I540" s="18">
        <v>0</v>
      </c>
      <c r="J540" s="18">
        <v>0</v>
      </c>
      <c r="K540" s="18">
        <v>0</v>
      </c>
      <c r="L540" s="88">
        <f>SUM(F540:K540)</f>
        <v>2552.87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2552.87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2552.87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1946655.5</v>
      </c>
      <c r="G544" s="89">
        <f t="shared" ref="G544:L544" si="41">G523+G528+G533+G538+G543</f>
        <v>295470.79000000004</v>
      </c>
      <c r="H544" s="89">
        <f t="shared" si="41"/>
        <v>284017.15999999997</v>
      </c>
      <c r="I544" s="89">
        <f t="shared" si="41"/>
        <v>10200.49</v>
      </c>
      <c r="J544" s="89">
        <f t="shared" si="41"/>
        <v>4012.11</v>
      </c>
      <c r="K544" s="89">
        <f t="shared" si="41"/>
        <v>0</v>
      </c>
      <c r="L544" s="89">
        <f t="shared" si="41"/>
        <v>2540356.0499999998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1016920.5199999999</v>
      </c>
      <c r="G548" s="87">
        <f>L525</f>
        <v>41101.300000000003</v>
      </c>
      <c r="H548" s="87">
        <f>L530</f>
        <v>40555</v>
      </c>
      <c r="I548" s="87">
        <f>L535</f>
        <v>2875.8</v>
      </c>
      <c r="J548" s="87">
        <f>L540</f>
        <v>2552.87</v>
      </c>
      <c r="K548" s="87">
        <f>SUM(F548:J548)</f>
        <v>1104005.49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78765</v>
      </c>
      <c r="I549" s="87">
        <f>L536</f>
        <v>0</v>
      </c>
      <c r="J549" s="87">
        <f>L541</f>
        <v>0</v>
      </c>
      <c r="K549" s="87">
        <f>SUM(F549:J549)</f>
        <v>78765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1258217.6299999999</v>
      </c>
      <c r="G550" s="87">
        <f>L527</f>
        <v>93529.18</v>
      </c>
      <c r="H550" s="87">
        <f>L532</f>
        <v>0</v>
      </c>
      <c r="I550" s="87">
        <f>L537</f>
        <v>5838.75</v>
      </c>
      <c r="J550" s="87">
        <f>L542</f>
        <v>0</v>
      </c>
      <c r="K550" s="87">
        <f>SUM(F550:J550)</f>
        <v>1357585.5599999998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2275138.15</v>
      </c>
      <c r="G551" s="89">
        <f t="shared" si="42"/>
        <v>134630.47999999998</v>
      </c>
      <c r="H551" s="89">
        <f t="shared" si="42"/>
        <v>119320</v>
      </c>
      <c r="I551" s="89">
        <f t="shared" si="42"/>
        <v>8714.5499999999993</v>
      </c>
      <c r="J551" s="89">
        <f t="shared" si="42"/>
        <v>2552.87</v>
      </c>
      <c r="K551" s="89">
        <f t="shared" si="42"/>
        <v>2540356.0499999998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20086</v>
      </c>
      <c r="I584" s="87">
        <f t="shared" si="47"/>
        <v>20086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5120.0600000000004</v>
      </c>
      <c r="I590" s="18"/>
      <c r="J590" s="18"/>
      <c r="K590" s="104">
        <f t="shared" ref="K590:K596" si="48">SUM(H590:J590)</f>
        <v>5120.0600000000004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2552.87</v>
      </c>
      <c r="I591" s="18"/>
      <c r="J591" s="18"/>
      <c r="K591" s="104">
        <f t="shared" si="48"/>
        <v>2552.87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>
        <v>0</v>
      </c>
      <c r="J592" s="18">
        <v>18362.36</v>
      </c>
      <c r="K592" s="104">
        <f t="shared" si="48"/>
        <v>18362.36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0</v>
      </c>
      <c r="J593" s="18">
        <v>120692.08</v>
      </c>
      <c r="K593" s="104">
        <f t="shared" si="48"/>
        <v>120692.08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3071.48</v>
      </c>
      <c r="I594" s="18"/>
      <c r="J594" s="18">
        <v>14132.94</v>
      </c>
      <c r="K594" s="104">
        <f t="shared" si="48"/>
        <v>17204.420000000002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10744.41</v>
      </c>
      <c r="I597" s="108">
        <f>SUM(I590:I596)</f>
        <v>0</v>
      </c>
      <c r="J597" s="108">
        <f>SUM(J590:J596)</f>
        <v>153187.38</v>
      </c>
      <c r="K597" s="108">
        <f>SUM(K590:K596)</f>
        <v>163931.79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76462.149999999994</v>
      </c>
      <c r="I603" s="18">
        <v>0</v>
      </c>
      <c r="J603" s="18">
        <v>186559.72</v>
      </c>
      <c r="K603" s="104">
        <f>SUM(H603:J603)</f>
        <v>263021.87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76462.149999999994</v>
      </c>
      <c r="I604" s="108">
        <f>SUM(I601:I603)</f>
        <v>0</v>
      </c>
      <c r="J604" s="108">
        <f>SUM(J601:J603)</f>
        <v>186559.72</v>
      </c>
      <c r="K604" s="108">
        <f>SUM(K601:K603)</f>
        <v>263021.87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6162.47</v>
      </c>
      <c r="G610" s="18">
        <v>1971.99</v>
      </c>
      <c r="H610" s="18">
        <v>9344.75</v>
      </c>
      <c r="I610" s="18">
        <v>0</v>
      </c>
      <c r="J610" s="18">
        <v>0</v>
      </c>
      <c r="K610" s="18">
        <v>0</v>
      </c>
      <c r="L610" s="88">
        <f>SUM(F610:K610)</f>
        <v>17479.21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17190.79</v>
      </c>
      <c r="G612" s="18">
        <v>5501.05</v>
      </c>
      <c r="H612" s="18">
        <v>10276.299999999999</v>
      </c>
      <c r="I612" s="18">
        <v>0</v>
      </c>
      <c r="J612" s="18">
        <v>0</v>
      </c>
      <c r="K612" s="18">
        <v>0</v>
      </c>
      <c r="L612" s="88">
        <f>SUM(F612:K612)</f>
        <v>32968.14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23353.260000000002</v>
      </c>
      <c r="G613" s="108">
        <f t="shared" si="49"/>
        <v>7473.04</v>
      </c>
      <c r="H613" s="108">
        <f t="shared" si="49"/>
        <v>19621.05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50447.35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484563.17</v>
      </c>
      <c r="H616" s="109">
        <f>SUM(F51)</f>
        <v>484563.17000000004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5469.16</v>
      </c>
      <c r="H617" s="109">
        <f>SUM(G51)</f>
        <v>5469.1600000000017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33276.47</v>
      </c>
      <c r="H618" s="109">
        <f>SUM(H51)</f>
        <v>33276.47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82361.179999999993</v>
      </c>
      <c r="H620" s="109">
        <f>SUM(J51)</f>
        <v>82361.180000000008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388695.4</v>
      </c>
      <c r="H621" s="109">
        <f>F475</f>
        <v>388695.39999999851</v>
      </c>
      <c r="I621" s="121" t="s">
        <v>101</v>
      </c>
      <c r="J621" s="109">
        <f t="shared" ref="J621:J654" si="50">G621-H621</f>
        <v>1.5133991837501526E-9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19008.84</v>
      </c>
      <c r="H622" s="109">
        <f>G475</f>
        <v>19008.839999999967</v>
      </c>
      <c r="I622" s="121" t="s">
        <v>102</v>
      </c>
      <c r="J622" s="109">
        <f t="shared" si="50"/>
        <v>3.2741809263825417E-11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29179.57</v>
      </c>
      <c r="H623" s="109">
        <f>H475</f>
        <v>29179.570000000007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-88143.06</v>
      </c>
      <c r="H624" s="109">
        <f>I475</f>
        <v>-88143.06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82361.180000000008</v>
      </c>
      <c r="H625" s="109">
        <f>J475</f>
        <v>82361.179999999993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22273350.739999998</v>
      </c>
      <c r="H626" s="104">
        <f>SUM(F467)</f>
        <v>22273350.739999998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533738.76</v>
      </c>
      <c r="H627" s="104">
        <f>SUM(G467)</f>
        <v>533738.76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272416.01</v>
      </c>
      <c r="H628" s="104">
        <f>SUM(H467)</f>
        <v>272416.01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-403.6</v>
      </c>
      <c r="H630" s="104">
        <f>SUM(J467)</f>
        <v>-403.6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22378465.620000001</v>
      </c>
      <c r="H631" s="104">
        <f>SUM(F471)</f>
        <v>22378465.620000001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249388.25999999998</v>
      </c>
      <c r="H632" s="104">
        <f>SUM(H471)</f>
        <v>249388.26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154507.13</v>
      </c>
      <c r="H633" s="104">
        <f>I368</f>
        <v>154507.13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540172.76</v>
      </c>
      <c r="H634" s="104">
        <f>SUM(G471)</f>
        <v>540172.76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-403.59999999999991</v>
      </c>
      <c r="H636" s="164">
        <f>SUM(J467)</f>
        <v>-403.6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868.23</v>
      </c>
      <c r="H637" s="164">
        <f>SUM(J471)</f>
        <v>868.23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82361.179999999993</v>
      </c>
      <c r="H639" s="104">
        <f>SUM(G460)</f>
        <v>82361.180000000008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82361.179999999993</v>
      </c>
      <c r="H641" s="104">
        <f>SUM(I460)</f>
        <v>82361.180000000008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-403.6</v>
      </c>
      <c r="H643" s="104">
        <f>H407</f>
        <v>-403.59999999999991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-403.6</v>
      </c>
      <c r="H645" s="104">
        <f>L407</f>
        <v>-403.59999999999991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163931.79</v>
      </c>
      <c r="H646" s="104">
        <f>L207+L225+L243</f>
        <v>163931.79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263021.87</v>
      </c>
      <c r="H647" s="104">
        <f>(J256+J337)-(J254+J335)</f>
        <v>263021.87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10744.41</v>
      </c>
      <c r="H648" s="104">
        <f>H597</f>
        <v>10744.41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153187.38</v>
      </c>
      <c r="H650" s="104">
        <f>J597</f>
        <v>153187.38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34897.58</v>
      </c>
      <c r="H651" s="104">
        <f>K262+K344</f>
        <v>34897.58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6736928.0699999994</v>
      </c>
      <c r="G659" s="19">
        <f>(L228+L308+L358)</f>
        <v>0</v>
      </c>
      <c r="H659" s="19">
        <f>(L246+L327+L359)</f>
        <v>12878847.360000001</v>
      </c>
      <c r="I659" s="19">
        <f>SUM(F659:H659)</f>
        <v>19615775.43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247445.77701690845</v>
      </c>
      <c r="G660" s="19">
        <f>(L358/IF(SUM(L357:L359)=0,1,SUM(L357:L359))*(SUM(G96:G109)))</f>
        <v>0</v>
      </c>
      <c r="H660" s="19">
        <f>(L359/IF(SUM(L357:L359)=0,1,SUM(L357:L359))*(SUM(G96:G109)))</f>
        <v>249871.02298309153</v>
      </c>
      <c r="I660" s="19">
        <f>SUM(F660:H660)</f>
        <v>497316.8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10744.41</v>
      </c>
      <c r="G661" s="19">
        <f>(L225+L305)-(J225+J305)</f>
        <v>0</v>
      </c>
      <c r="H661" s="19">
        <f>(L243+L324)-(J243+J324)</f>
        <v>153187.38</v>
      </c>
      <c r="I661" s="19">
        <f>SUM(F661:H661)</f>
        <v>163931.79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93941.359999999986</v>
      </c>
      <c r="G662" s="200">
        <f>SUM(G574:G586)+SUM(I601:I603)+L611</f>
        <v>0</v>
      </c>
      <c r="H662" s="200">
        <f>SUM(H574:H586)+SUM(J601:J603)+L612</f>
        <v>239613.86</v>
      </c>
      <c r="I662" s="19">
        <f>SUM(F662:H662)</f>
        <v>333555.21999999997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6384796.522983091</v>
      </c>
      <c r="G663" s="19">
        <f>G659-SUM(G660:G662)</f>
        <v>0</v>
      </c>
      <c r="H663" s="19">
        <f>H659-SUM(H660:H662)</f>
        <v>12236175.09701691</v>
      </c>
      <c r="I663" s="19">
        <f>I659-SUM(I660:I662)</f>
        <v>18620971.620000001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401.37</v>
      </c>
      <c r="G664" s="249"/>
      <c r="H664" s="249">
        <v>760.08</v>
      </c>
      <c r="I664" s="19">
        <f>SUM(F664:H664)</f>
        <v>1161.45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15907.51</v>
      </c>
      <c r="G666" s="19" t="e">
        <f>ROUND(G663/G664,2)</f>
        <v>#DIV/0!</v>
      </c>
      <c r="H666" s="19">
        <f>ROUND(H663/H664,2)</f>
        <v>16098.54</v>
      </c>
      <c r="I666" s="19">
        <f>ROUND(I663/I664,2)</f>
        <v>16032.52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-9.68</v>
      </c>
      <c r="I669" s="19">
        <f>SUM(F669:H669)</f>
        <v>-9.68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15907.51</v>
      </c>
      <c r="G671" s="19" t="e">
        <f>ROUND((G663+G668)/(G664+G669),2)</f>
        <v>#DIV/0!</v>
      </c>
      <c r="H671" s="19">
        <f>ROUND((H663+H668)/(H664+H669),2)</f>
        <v>16306.2</v>
      </c>
      <c r="I671" s="19">
        <f>ROUND((I663+I668)/(I664+I669),2)</f>
        <v>16167.27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4" workbookViewId="0">
      <selection activeCell="B37" sqref="B37:C3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Dresden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6581216.4199999999</v>
      </c>
      <c r="C9" s="230">
        <f>'DOE25'!G196+'DOE25'!G214+'DOE25'!G232+'DOE25'!G275+'DOE25'!G294+'DOE25'!G313</f>
        <v>2117796.37</v>
      </c>
    </row>
    <row r="10" spans="1:3">
      <c r="A10" t="s">
        <v>779</v>
      </c>
      <c r="B10" s="241">
        <v>6150661.6500000004</v>
      </c>
      <c r="C10" s="241">
        <v>1979246.4013010245</v>
      </c>
    </row>
    <row r="11" spans="1:3">
      <c r="A11" t="s">
        <v>780</v>
      </c>
      <c r="B11" s="241">
        <v>313148.52</v>
      </c>
      <c r="C11" s="241">
        <v>100769.33451261166</v>
      </c>
    </row>
    <row r="12" spans="1:3">
      <c r="A12" t="s">
        <v>781</v>
      </c>
      <c r="B12" s="241">
        <v>117406.25</v>
      </c>
      <c r="C12" s="241">
        <v>37780.634186363968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6581216.4199999999</v>
      </c>
      <c r="C13" s="232">
        <f>SUM(C10:C12)</f>
        <v>2117796.37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1861148.5</v>
      </c>
      <c r="C18" s="230">
        <f>'DOE25'!G197+'DOE25'!G215+'DOE25'!G233+'DOE25'!G276+'DOE25'!G295+'DOE25'!G314</f>
        <v>828343.72</v>
      </c>
    </row>
    <row r="19" spans="1:3">
      <c r="A19" t="s">
        <v>779</v>
      </c>
      <c r="B19" s="241">
        <v>1232954.2</v>
      </c>
      <c r="C19" s="241">
        <v>548752.48730427679</v>
      </c>
    </row>
    <row r="20" spans="1:3">
      <c r="A20" t="s">
        <v>780</v>
      </c>
      <c r="B20" s="241">
        <v>628194.30000000005</v>
      </c>
      <c r="C20" s="241">
        <v>279591.23269572307</v>
      </c>
    </row>
    <row r="21" spans="1:3">
      <c r="A21" t="s">
        <v>781</v>
      </c>
      <c r="B21" s="241">
        <v>0</v>
      </c>
      <c r="C21" s="241">
        <v>0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1861148.5</v>
      </c>
      <c r="C22" s="232">
        <f>SUM(C19:C21)</f>
        <v>828343.71999999986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396150.58</v>
      </c>
      <c r="C36" s="236">
        <f>'DOE25'!G199+'DOE25'!G217+'DOE25'!G235+'DOE25'!G278+'DOE25'!G297+'DOE25'!G316</f>
        <v>96653.64</v>
      </c>
    </row>
    <row r="37" spans="1:3">
      <c r="A37" t="s">
        <v>779</v>
      </c>
      <c r="B37" s="241">
        <v>208485.18</v>
      </c>
      <c r="C37" s="241">
        <v>50866.646549034958</v>
      </c>
    </row>
    <row r="38" spans="1:3">
      <c r="A38" t="s">
        <v>780</v>
      </c>
      <c r="B38" s="241">
        <v>41811.279999999999</v>
      </c>
      <c r="C38" s="241">
        <v>10201.202797833086</v>
      </c>
    </row>
    <row r="39" spans="1:3">
      <c r="A39" t="s">
        <v>781</v>
      </c>
      <c r="B39" s="241">
        <v>145854.12000000005</v>
      </c>
      <c r="C39" s="241">
        <v>35585.790653131953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396150.58000000007</v>
      </c>
      <c r="C40" s="232">
        <f>SUM(C37:C39)</f>
        <v>96653.64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Dresden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12442461.23</v>
      </c>
      <c r="D5" s="20">
        <f>SUM('DOE25'!L196:L199)+SUM('DOE25'!L214:L217)+SUM('DOE25'!L232:L235)-F5-G5</f>
        <v>12298048.290000001</v>
      </c>
      <c r="E5" s="244"/>
      <c r="F5" s="256">
        <f>SUM('DOE25'!J196:J199)+SUM('DOE25'!J214:J217)+SUM('DOE25'!J232:J235)</f>
        <v>138390.1</v>
      </c>
      <c r="G5" s="53">
        <f>SUM('DOE25'!K196:K199)+SUM('DOE25'!K214:K217)+SUM('DOE25'!K232:K235)</f>
        <v>6022.84</v>
      </c>
      <c r="H5" s="260"/>
    </row>
    <row r="6" spans="1:9">
      <c r="A6" s="32">
        <v>2100</v>
      </c>
      <c r="B6" t="s">
        <v>801</v>
      </c>
      <c r="C6" s="246">
        <f t="shared" si="0"/>
        <v>1142140.33</v>
      </c>
      <c r="D6" s="20">
        <f>'DOE25'!L201+'DOE25'!L219+'DOE25'!L237-F6-G6</f>
        <v>1142115.33</v>
      </c>
      <c r="E6" s="244"/>
      <c r="F6" s="256">
        <f>'DOE25'!J201+'DOE25'!J219+'DOE25'!J237</f>
        <v>0</v>
      </c>
      <c r="G6" s="53">
        <f>'DOE25'!K201+'DOE25'!K219+'DOE25'!K237</f>
        <v>25</v>
      </c>
      <c r="H6" s="260"/>
    </row>
    <row r="7" spans="1:9">
      <c r="A7" s="32">
        <v>2200</v>
      </c>
      <c r="B7" t="s">
        <v>834</v>
      </c>
      <c r="C7" s="246">
        <f t="shared" si="0"/>
        <v>629248.66</v>
      </c>
      <c r="D7" s="20">
        <f>'DOE25'!L202+'DOE25'!L220+'DOE25'!L238-F7-G7</f>
        <v>526845.64</v>
      </c>
      <c r="E7" s="244"/>
      <c r="F7" s="256">
        <f>'DOE25'!J202+'DOE25'!J220+'DOE25'!J238</f>
        <v>101829.02</v>
      </c>
      <c r="G7" s="53">
        <f>'DOE25'!K202+'DOE25'!K220+'DOE25'!K238</f>
        <v>574</v>
      </c>
      <c r="H7" s="260"/>
    </row>
    <row r="8" spans="1:9">
      <c r="A8" s="32">
        <v>2300</v>
      </c>
      <c r="B8" t="s">
        <v>802</v>
      </c>
      <c r="C8" s="246">
        <f t="shared" si="0"/>
        <v>572575.00000000012</v>
      </c>
      <c r="D8" s="244"/>
      <c r="E8" s="20">
        <f>'DOE25'!L203+'DOE25'!L221+'DOE25'!L239-F8-G8-D9-D11</f>
        <v>564443.29000000015</v>
      </c>
      <c r="F8" s="256">
        <f>'DOE25'!J203+'DOE25'!J221+'DOE25'!J239</f>
        <v>0</v>
      </c>
      <c r="G8" s="53">
        <f>'DOE25'!K203+'DOE25'!K221+'DOE25'!K239</f>
        <v>8131.7099999999991</v>
      </c>
      <c r="H8" s="260"/>
    </row>
    <row r="9" spans="1:9">
      <c r="A9" s="32">
        <v>2310</v>
      </c>
      <c r="B9" t="s">
        <v>818</v>
      </c>
      <c r="C9" s="246">
        <f t="shared" si="0"/>
        <v>72756.08</v>
      </c>
      <c r="D9" s="245">
        <v>72756.08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11500</v>
      </c>
      <c r="D10" s="244"/>
      <c r="E10" s="245">
        <v>11500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119666</v>
      </c>
      <c r="D11" s="245">
        <v>119666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1912505.5899999999</v>
      </c>
      <c r="D12" s="20">
        <f>'DOE25'!L204+'DOE25'!L222+'DOE25'!L240-F12-G12</f>
        <v>1908506.9899999998</v>
      </c>
      <c r="E12" s="244"/>
      <c r="F12" s="256">
        <f>'DOE25'!J204+'DOE25'!J222+'DOE25'!J240</f>
        <v>1771.6</v>
      </c>
      <c r="G12" s="53">
        <f>'DOE25'!K204+'DOE25'!K222+'DOE25'!K240</f>
        <v>2227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1779677.38</v>
      </c>
      <c r="D14" s="20">
        <f>'DOE25'!L206+'DOE25'!L224+'DOE25'!L242-F14-G14</f>
        <v>1761302.4</v>
      </c>
      <c r="E14" s="244"/>
      <c r="F14" s="256">
        <f>'DOE25'!J206+'DOE25'!J224+'DOE25'!J242</f>
        <v>18374.98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163931.79</v>
      </c>
      <c r="D15" s="20">
        <f>'DOE25'!L207+'DOE25'!L225+'DOE25'!L243-F15-G15</f>
        <v>163931.79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38893.35</v>
      </c>
      <c r="D22" s="244"/>
      <c r="E22" s="244"/>
      <c r="F22" s="256">
        <f>'DOE25'!L254+'DOE25'!L335</f>
        <v>38893.35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3478460.28</v>
      </c>
      <c r="D25" s="244"/>
      <c r="E25" s="244"/>
      <c r="F25" s="259"/>
      <c r="G25" s="257"/>
      <c r="H25" s="258">
        <f>'DOE25'!L259+'DOE25'!L260+'DOE25'!L340+'DOE25'!L341</f>
        <v>3478460.28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394425.11</v>
      </c>
      <c r="D29" s="20">
        <f>'DOE25'!L357+'DOE25'!L358+'DOE25'!L359-'DOE25'!I366-F29-G29</f>
        <v>392369.1</v>
      </c>
      <c r="E29" s="244"/>
      <c r="F29" s="256">
        <f>'DOE25'!J357+'DOE25'!J358+'DOE25'!J359</f>
        <v>2056.0100000000002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240640.61</v>
      </c>
      <c r="D31" s="20">
        <f>'DOE25'!L289+'DOE25'!L308+'DOE25'!L327+'DOE25'!L332+'DOE25'!L333+'DOE25'!L334-F31-G31</f>
        <v>237954.43999999997</v>
      </c>
      <c r="E31" s="244"/>
      <c r="F31" s="256">
        <f>'DOE25'!J289+'DOE25'!J308+'DOE25'!J327+'DOE25'!J332+'DOE25'!J333+'DOE25'!J334</f>
        <v>2656.17</v>
      </c>
      <c r="G31" s="53">
        <f>'DOE25'!K289+'DOE25'!K308+'DOE25'!K327+'DOE25'!K332+'DOE25'!K333+'DOE25'!K334</f>
        <v>30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18623496.060000002</v>
      </c>
      <c r="E33" s="247">
        <f>SUM(E5:E31)</f>
        <v>575943.29000000015</v>
      </c>
      <c r="F33" s="247">
        <f>SUM(F5:F31)</f>
        <v>303971.23</v>
      </c>
      <c r="G33" s="247">
        <f>SUM(G5:G31)</f>
        <v>17010.55</v>
      </c>
      <c r="H33" s="247">
        <f>SUM(H5:H31)</f>
        <v>3478460.28</v>
      </c>
    </row>
    <row r="35" spans="2:8" ht="12" thickBot="1">
      <c r="B35" s="254" t="s">
        <v>847</v>
      </c>
      <c r="D35" s="255">
        <f>E33</f>
        <v>575943.29000000015</v>
      </c>
      <c r="E35" s="250"/>
    </row>
    <row r="36" spans="2:8" ht="12" thickTop="1">
      <c r="B36" t="s">
        <v>815</v>
      </c>
      <c r="D36" s="20">
        <f>D33</f>
        <v>18623496.060000002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Dresden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375752.06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26235.61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56125.57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40476.21</v>
      </c>
      <c r="D12" s="95">
        <f>'DOE25'!G13</f>
        <v>3859.73</v>
      </c>
      <c r="E12" s="95">
        <f>'DOE25'!H13</f>
        <v>33276.47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50240.47</v>
      </c>
      <c r="D13" s="95">
        <f>'DOE25'!G14</f>
        <v>1609.43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18094.43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484563.17</v>
      </c>
      <c r="D18" s="41">
        <f>SUM(D8:D17)</f>
        <v>5469.16</v>
      </c>
      <c r="E18" s="41">
        <f>SUM(E8:E17)</f>
        <v>33276.47</v>
      </c>
      <c r="F18" s="41">
        <f>SUM(F8:F17)</f>
        <v>0</v>
      </c>
      <c r="G18" s="41">
        <f>SUM(G8:G17)</f>
        <v>82361.179999999993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-23626.53</v>
      </c>
      <c r="D21" s="95">
        <f>'DOE25'!G22</f>
        <v>-23098.85</v>
      </c>
      <c r="E21" s="95">
        <f>'DOE25'!H22</f>
        <v>4096.8999999999996</v>
      </c>
      <c r="F21" s="95">
        <f>'DOE25'!I22</f>
        <v>88143.06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66021.69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-287.8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9559.17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53760.41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95867.77</v>
      </c>
      <c r="D31" s="41">
        <f>SUM(D21:D30)</f>
        <v>-13539.679999999998</v>
      </c>
      <c r="E31" s="41">
        <f>SUM(E21:E30)</f>
        <v>4096.8999999999996</v>
      </c>
      <c r="F31" s="41">
        <f>SUM(F21:F30)</f>
        <v>88143.06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19008.84</v>
      </c>
      <c r="E46" s="95">
        <f>'DOE25'!H47</f>
        <v>29179.57</v>
      </c>
      <c r="F46" s="95">
        <f>'DOE25'!I47</f>
        <v>-88143.06</v>
      </c>
      <c r="G46" s="95">
        <f>'DOE25'!J47</f>
        <v>82361.180000000008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388695.4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388695.4</v>
      </c>
      <c r="D49" s="41">
        <f>SUM(D34:D48)</f>
        <v>19008.84</v>
      </c>
      <c r="E49" s="41">
        <f>SUM(E34:E48)</f>
        <v>29179.57</v>
      </c>
      <c r="F49" s="41">
        <f>SUM(F34:F48)</f>
        <v>-88143.06</v>
      </c>
      <c r="G49" s="41">
        <f>SUM(G34:G48)</f>
        <v>82361.180000000008</v>
      </c>
      <c r="H49" s="124"/>
      <c r="I49" s="124"/>
    </row>
    <row r="50" spans="1:9" ht="12" thickTop="1">
      <c r="A50" s="38" t="s">
        <v>895</v>
      </c>
      <c r="B50" s="2"/>
      <c r="C50" s="41">
        <f>C49+C31</f>
        <v>484563.17000000004</v>
      </c>
      <c r="D50" s="41">
        <f>D49+D31</f>
        <v>5469.1600000000017</v>
      </c>
      <c r="E50" s="41">
        <f>E49+E31</f>
        <v>33276.47</v>
      </c>
      <c r="F50" s="41">
        <f>F49+F31</f>
        <v>0</v>
      </c>
      <c r="G50" s="41">
        <f>G49+G31</f>
        <v>82361.180000000008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14930727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3890516.18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4730.6899999999996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-403.6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497096.33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326356.94</v>
      </c>
      <c r="D60" s="95">
        <f>SUM('DOE25'!G97:G109)</f>
        <v>220.47</v>
      </c>
      <c r="E60" s="95">
        <f>SUM('DOE25'!H97:H109)</f>
        <v>49100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4221603.8100000005</v>
      </c>
      <c r="D61" s="130">
        <f>SUM(D56:D60)</f>
        <v>497316.8</v>
      </c>
      <c r="E61" s="130">
        <f>SUM(E56:E60)</f>
        <v>49100</v>
      </c>
      <c r="F61" s="130">
        <f>SUM(F56:F60)</f>
        <v>0</v>
      </c>
      <c r="G61" s="130">
        <f>SUM(G56:G60)</f>
        <v>-403.6</v>
      </c>
      <c r="H61"/>
      <c r="I61"/>
    </row>
    <row r="62" spans="1:9" ht="12" thickTop="1">
      <c r="A62" s="29" t="s">
        <v>175</v>
      </c>
      <c r="B62" s="6"/>
      <c r="C62" s="22">
        <f>C55+C61</f>
        <v>19152330.810000002</v>
      </c>
      <c r="D62" s="22">
        <f>D55+D61</f>
        <v>497316.8</v>
      </c>
      <c r="E62" s="22">
        <f>E55+E61</f>
        <v>49100</v>
      </c>
      <c r="F62" s="22">
        <f>F55+F61</f>
        <v>0</v>
      </c>
      <c r="G62" s="22">
        <f>G55+G61</f>
        <v>-403.6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2453919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8561.64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2462480.64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570181.56999999995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35100.07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2485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605281.6399999999</v>
      </c>
      <c r="D77" s="130">
        <f>SUM(D71:D76)</f>
        <v>0</v>
      </c>
      <c r="E77" s="130">
        <f>SUM(E71:E76)</f>
        <v>2485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3067762.2800000003</v>
      </c>
      <c r="D80" s="130">
        <f>SUM(D78:D79)+D77+D69</f>
        <v>0</v>
      </c>
      <c r="E80" s="130">
        <f>SUM(E78:E79)+E77+E69</f>
        <v>2485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50262.46</v>
      </c>
      <c r="D84" s="95">
        <f>'DOE25'!G146</f>
        <v>0</v>
      </c>
      <c r="E84" s="95">
        <f>'DOE25'!H146</f>
        <v>16247.65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1524.38</v>
      </c>
      <c r="E87" s="95">
        <f>SUM('DOE25'!H152:H160)</f>
        <v>204583.36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2995.19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53257.65</v>
      </c>
      <c r="D90" s="131">
        <f>SUM(D84:D89)</f>
        <v>1524.38</v>
      </c>
      <c r="E90" s="131">
        <f>SUM(E84:E89)</f>
        <v>220831.00999999998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34897.58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34897.58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22273350.740000002</v>
      </c>
      <c r="D103" s="86">
        <f>D62+D80+D90+D102</f>
        <v>533738.76</v>
      </c>
      <c r="E103" s="86">
        <f>E62+E80+E90+E102</f>
        <v>272416.01</v>
      </c>
      <c r="F103" s="86">
        <f>F62+F80+F90+F102</f>
        <v>0</v>
      </c>
      <c r="G103" s="86">
        <f>G62+G80+G102</f>
        <v>-403.6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9079870.4699999988</v>
      </c>
      <c r="D108" s="24" t="s">
        <v>289</v>
      </c>
      <c r="E108" s="95">
        <f>('DOE25'!L275)+('DOE25'!L294)+('DOE25'!L313)</f>
        <v>24447.21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2648877.9299999997</v>
      </c>
      <c r="D109" s="24" t="s">
        <v>289</v>
      </c>
      <c r="E109" s="95">
        <f>('DOE25'!L276)+('DOE25'!L295)+('DOE25'!L314)</f>
        <v>190121.15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20086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693626.83</v>
      </c>
      <c r="D111" s="24" t="s">
        <v>289</v>
      </c>
      <c r="E111" s="95">
        <f>+('DOE25'!L278)+('DOE25'!L297)+('DOE25'!L316)</f>
        <v>26072.25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12442461.229999999</v>
      </c>
      <c r="D114" s="86">
        <f>SUM(D108:D113)</f>
        <v>0</v>
      </c>
      <c r="E114" s="86">
        <f>SUM(E108:E113)</f>
        <v>240640.61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1142140.33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629248.66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764997.08000000007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1912505.5899999999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1779677.38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163931.79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540172.76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6392500.8300000001</v>
      </c>
      <c r="D127" s="86">
        <f>SUM(D117:D126)</f>
        <v>540172.76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30145.7</v>
      </c>
      <c r="D129" s="24" t="s">
        <v>289</v>
      </c>
      <c r="E129" s="129">
        <f>'DOE25'!L335</f>
        <v>8747.65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2459844.42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1018615.86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34897.58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-403.59999999999991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403.59999999999991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3543503.56</v>
      </c>
      <c r="D143" s="141">
        <f>SUM(D129:D142)</f>
        <v>0</v>
      </c>
      <c r="E143" s="141">
        <f>SUM(E129:E142)</f>
        <v>8747.65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22378465.619999997</v>
      </c>
      <c r="D144" s="86">
        <f>(D114+D127+D143)</f>
        <v>540172.76</v>
      </c>
      <c r="E144" s="86">
        <f>(E114+E127+E143)</f>
        <v>249388.25999999998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20</v>
      </c>
      <c r="E150" s="153">
        <f>'DOE25'!I489</f>
        <v>20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2532900</v>
      </c>
      <c r="C153" s="137">
        <f>'DOE25'!G492</f>
        <v>4000000</v>
      </c>
      <c r="D153" s="137">
        <f>'DOE25'!H492</f>
        <v>38460936</v>
      </c>
      <c r="E153" s="137">
        <f>'DOE25'!I492</f>
        <v>1100000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4.08</v>
      </c>
      <c r="C154" s="137">
        <f>'DOE25'!G493</f>
        <v>4.47</v>
      </c>
      <c r="D154" s="137">
        <f>'DOE25'!H493</f>
        <v>4.62</v>
      </c>
      <c r="E154" s="137">
        <f>'DOE25'!I493</f>
        <v>4.71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1839773</v>
      </c>
      <c r="C155" s="137">
        <f>'DOE25'!G494</f>
        <v>2410072</v>
      </c>
      <c r="D155" s="137">
        <f>'DOE25'!H494</f>
        <v>20136404</v>
      </c>
      <c r="E155" s="137">
        <f>'DOE25'!I494</f>
        <v>605000</v>
      </c>
      <c r="F155" s="137">
        <f>'DOE25'!J494</f>
        <v>0</v>
      </c>
      <c r="G155" s="138">
        <f>SUM(B155:F155)</f>
        <v>24991249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155411</v>
      </c>
      <c r="C157" s="137">
        <f>'DOE25'!G496</f>
        <v>225922</v>
      </c>
      <c r="D157" s="137">
        <f>'DOE25'!H496</f>
        <v>2023511</v>
      </c>
      <c r="E157" s="137">
        <f>'DOE25'!I496</f>
        <v>55000</v>
      </c>
      <c r="F157" s="137">
        <f>'DOE25'!J496</f>
        <v>0</v>
      </c>
      <c r="G157" s="138">
        <f t="shared" si="0"/>
        <v>2459844</v>
      </c>
    </row>
    <row r="158" spans="1:9">
      <c r="A158" s="22" t="s">
        <v>35</v>
      </c>
      <c r="B158" s="137">
        <f>'DOE25'!F497</f>
        <v>1684362</v>
      </c>
      <c r="C158" s="137">
        <f>'DOE25'!G497</f>
        <v>2184150</v>
      </c>
      <c r="D158" s="137">
        <f>'DOE25'!H497</f>
        <v>18112893</v>
      </c>
      <c r="E158" s="137">
        <f>'DOE25'!I497</f>
        <v>550000</v>
      </c>
      <c r="F158" s="137">
        <f>'DOE25'!J497</f>
        <v>0</v>
      </c>
      <c r="G158" s="138">
        <f t="shared" si="0"/>
        <v>22531405</v>
      </c>
    </row>
    <row r="159" spans="1:9">
      <c r="A159" s="22" t="s">
        <v>36</v>
      </c>
      <c r="B159" s="137">
        <f>'DOE25'!F498</f>
        <v>1198113</v>
      </c>
      <c r="C159" s="137">
        <f>'DOE25'!G498</f>
        <v>1811169</v>
      </c>
      <c r="D159" s="137">
        <f>'DOE25'!H498</f>
        <v>16881827</v>
      </c>
      <c r="E159" s="137">
        <f>'DOE25'!I498</f>
        <v>135238</v>
      </c>
      <c r="F159" s="137">
        <f>'DOE25'!J498</f>
        <v>0</v>
      </c>
      <c r="G159" s="138">
        <f t="shared" si="0"/>
        <v>20026347</v>
      </c>
    </row>
    <row r="160" spans="1:9">
      <c r="A160" s="22" t="s">
        <v>37</v>
      </c>
      <c r="B160" s="137">
        <f>'DOE25'!F499</f>
        <v>2882475</v>
      </c>
      <c r="C160" s="137">
        <f>'DOE25'!G499</f>
        <v>3995319</v>
      </c>
      <c r="D160" s="137">
        <f>'DOE25'!H499</f>
        <v>34994720</v>
      </c>
      <c r="E160" s="137">
        <f>'DOE25'!I499</f>
        <v>685238</v>
      </c>
      <c r="F160" s="137">
        <f>'DOE25'!J499</f>
        <v>0</v>
      </c>
      <c r="G160" s="138">
        <f t="shared" si="0"/>
        <v>42557752</v>
      </c>
    </row>
    <row r="161" spans="1:7">
      <c r="A161" s="22" t="s">
        <v>38</v>
      </c>
      <c r="B161" s="137">
        <f>'DOE25'!F500</f>
        <v>149091</v>
      </c>
      <c r="C161" s="137">
        <f>'DOE25'!G500</f>
        <v>217357</v>
      </c>
      <c r="D161" s="137">
        <f>'DOE25'!H500</f>
        <v>1932763</v>
      </c>
      <c r="E161" s="137">
        <f>'DOE25'!I500</f>
        <v>55000</v>
      </c>
      <c r="F161" s="137">
        <f>'DOE25'!J500</f>
        <v>0</v>
      </c>
      <c r="G161" s="138">
        <f t="shared" si="0"/>
        <v>2354211</v>
      </c>
    </row>
    <row r="162" spans="1:7">
      <c r="A162" s="22" t="s">
        <v>39</v>
      </c>
      <c r="B162" s="137">
        <f>'DOE25'!F501</f>
        <v>42915</v>
      </c>
      <c r="C162" s="137">
        <f>'DOE25'!G501</f>
        <v>91124</v>
      </c>
      <c r="D162" s="137">
        <f>'DOE25'!H501</f>
        <v>967755</v>
      </c>
      <c r="E162" s="137">
        <f>'DOE25'!I501</f>
        <v>25259</v>
      </c>
      <c r="F162" s="137">
        <f>'DOE25'!J501</f>
        <v>0</v>
      </c>
      <c r="G162" s="138">
        <f t="shared" si="0"/>
        <v>1127053</v>
      </c>
    </row>
    <row r="163" spans="1:7">
      <c r="A163" s="22" t="s">
        <v>246</v>
      </c>
      <c r="B163" s="137">
        <f>'DOE25'!F502</f>
        <v>192006</v>
      </c>
      <c r="C163" s="137">
        <f>'DOE25'!G502</f>
        <v>308481</v>
      </c>
      <c r="D163" s="137">
        <f>'DOE25'!H502</f>
        <v>2900518</v>
      </c>
      <c r="E163" s="137">
        <f>'DOE25'!I502</f>
        <v>80259</v>
      </c>
      <c r="F163" s="137">
        <f>'DOE25'!J502</f>
        <v>0</v>
      </c>
      <c r="G163" s="138">
        <f t="shared" si="0"/>
        <v>3481264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Dresden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15908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16306</v>
      </c>
    </row>
    <row r="7" spans="1:4">
      <c r="B7" t="s">
        <v>705</v>
      </c>
      <c r="C7" s="179">
        <f>IF('DOE25'!I664+'DOE25'!I669=0,0,ROUND('DOE25'!I671,0))</f>
        <v>16167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9104318</v>
      </c>
      <c r="D10" s="182">
        <f>ROUND((C10/$C$28)*100,1)</f>
        <v>45.2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2838999</v>
      </c>
      <c r="D11" s="182">
        <f>ROUND((C11/$C$28)*100,1)</f>
        <v>14.1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20086</v>
      </c>
      <c r="D12" s="182">
        <f>ROUND((C12/$C$28)*100,1)</f>
        <v>0.1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719699</v>
      </c>
      <c r="D13" s="182">
        <f>ROUND((C13/$C$28)*100,1)</f>
        <v>3.6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1142140</v>
      </c>
      <c r="D15" s="182">
        <f t="shared" ref="D15:D27" si="0">ROUND((C15/$C$28)*100,1)</f>
        <v>5.7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629249</v>
      </c>
      <c r="D16" s="182">
        <f t="shared" si="0"/>
        <v>3.1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764997</v>
      </c>
      <c r="D17" s="182">
        <f t="shared" si="0"/>
        <v>3.8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1912506</v>
      </c>
      <c r="D18" s="182">
        <f t="shared" si="0"/>
        <v>9.5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1779677</v>
      </c>
      <c r="D20" s="182">
        <f t="shared" si="0"/>
        <v>8.8000000000000007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163932</v>
      </c>
      <c r="D21" s="182">
        <f t="shared" si="0"/>
        <v>0.8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1018616</v>
      </c>
      <c r="D25" s="182">
        <f t="shared" si="0"/>
        <v>5.0999999999999996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42856.200000000012</v>
      </c>
      <c r="D27" s="182">
        <f t="shared" si="0"/>
        <v>0.2</v>
      </c>
    </row>
    <row r="28" spans="1:4">
      <c r="B28" s="187" t="s">
        <v>723</v>
      </c>
      <c r="C28" s="180">
        <f>SUM(C10:C27)</f>
        <v>20137075.199999999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38893</v>
      </c>
    </row>
    <row r="30" spans="1:4">
      <c r="B30" s="187" t="s">
        <v>729</v>
      </c>
      <c r="C30" s="180">
        <f>SUM(C28:C29)</f>
        <v>20175968.199999999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2459844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14930727</v>
      </c>
      <c r="D35" s="182">
        <f t="shared" ref="D35:D40" si="1">ROUND((C35/$C$41)*100,1)</f>
        <v>66.2</v>
      </c>
    </row>
    <row r="36" spans="1:4">
      <c r="B36" s="185" t="s">
        <v>743</v>
      </c>
      <c r="C36" s="179">
        <f>SUM('DOE25'!F111:J111)-SUM('DOE25'!G96:G109)+('DOE25'!F173+'DOE25'!F174+'DOE25'!I173+'DOE25'!I174)-C35</f>
        <v>4270300.2099999972</v>
      </c>
      <c r="D36" s="182">
        <f t="shared" si="1"/>
        <v>18.899999999999999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2453919</v>
      </c>
      <c r="D37" s="182">
        <f t="shared" si="1"/>
        <v>10.9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616328</v>
      </c>
      <c r="D38" s="182">
        <f t="shared" si="1"/>
        <v>2.7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275613</v>
      </c>
      <c r="D39" s="182">
        <f t="shared" si="1"/>
        <v>1.2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22546887.209999997</v>
      </c>
      <c r="D41" s="184">
        <f>SUM(D35:D40)</f>
        <v>99.9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Dresden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2012-09-20T13:48:31Z</cp:lastPrinted>
  <dcterms:created xsi:type="dcterms:W3CDTF">1997-12-04T19:04:30Z</dcterms:created>
  <dcterms:modified xsi:type="dcterms:W3CDTF">2012-11-26T14:34:52Z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