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1560" yWindow="330" windowWidth="15210" windowHeight="88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19" i="12" l="1"/>
  <c r="D11" i="13" l="1"/>
  <c r="B39" i="12"/>
  <c r="B37" i="12"/>
  <c r="B20" i="12"/>
  <c r="B21" i="12"/>
  <c r="B12" i="12" l="1"/>
  <c r="B11" i="12"/>
  <c r="B10" i="12"/>
  <c r="F197" i="1"/>
  <c r="F196" i="1"/>
  <c r="F611" i="1" l="1"/>
  <c r="F612" i="1"/>
  <c r="F556" i="1"/>
  <c r="G556" i="1"/>
  <c r="J603" i="1"/>
  <c r="I603" i="1"/>
  <c r="H603" i="1"/>
  <c r="H590" i="1"/>
  <c r="J591" i="1"/>
  <c r="I591" i="1"/>
  <c r="H591" i="1"/>
  <c r="H578" i="1"/>
  <c r="H583" i="1"/>
  <c r="F527" i="1"/>
  <c r="F526" i="1"/>
  <c r="G522" i="1"/>
  <c r="H522" i="1"/>
  <c r="I522" i="1"/>
  <c r="J522" i="1"/>
  <c r="K522" i="1"/>
  <c r="F522" i="1"/>
  <c r="F521" i="1"/>
  <c r="G521" i="1"/>
  <c r="H521" i="1"/>
  <c r="I521" i="1"/>
  <c r="J521" i="1"/>
  <c r="K521" i="1"/>
  <c r="G520" i="1"/>
  <c r="H520" i="1"/>
  <c r="I520" i="1"/>
  <c r="J520" i="1"/>
  <c r="K520" i="1"/>
  <c r="F520" i="1"/>
  <c r="F497" i="1"/>
  <c r="I506" i="1"/>
  <c r="J238" i="1"/>
  <c r="J237" i="1"/>
  <c r="J220" i="1"/>
  <c r="J202" i="1"/>
  <c r="F468" i="1" l="1"/>
  <c r="G471" i="1"/>
  <c r="G467" i="1"/>
  <c r="H467" i="1"/>
  <c r="F467" i="1"/>
  <c r="H367" i="1"/>
  <c r="H366" i="1"/>
  <c r="G366" i="1"/>
  <c r="G367" i="1"/>
  <c r="F367" i="1"/>
  <c r="F366" i="1"/>
  <c r="F359" i="1"/>
  <c r="I359" i="1"/>
  <c r="I358" i="1"/>
  <c r="I357" i="1"/>
  <c r="G359" i="1"/>
  <c r="G358" i="1"/>
  <c r="F358" i="1"/>
  <c r="G357" i="1"/>
  <c r="F357" i="1"/>
  <c r="K359" i="1"/>
  <c r="K357" i="1"/>
  <c r="J359" i="1"/>
  <c r="J358" i="1"/>
  <c r="J357" i="1"/>
  <c r="H358" i="1"/>
  <c r="H357" i="1"/>
  <c r="K203" i="1" l="1"/>
  <c r="F203" i="1"/>
  <c r="F180" i="1"/>
  <c r="I281" i="1"/>
  <c r="I280" i="1"/>
  <c r="I276" i="1"/>
  <c r="I275" i="1"/>
  <c r="H300" i="1"/>
  <c r="H281" i="1"/>
  <c r="F319" i="1"/>
  <c r="F300" i="1"/>
  <c r="F281" i="1"/>
  <c r="F280" i="1"/>
  <c r="F314" i="1"/>
  <c r="F295" i="1"/>
  <c r="F276" i="1"/>
  <c r="F275" i="1"/>
  <c r="H207" i="1"/>
  <c r="H225" i="1"/>
  <c r="H243" i="1"/>
  <c r="K238" i="1"/>
  <c r="K220" i="1"/>
  <c r="K202" i="1"/>
  <c r="K237" i="1"/>
  <c r="J219" i="1"/>
  <c r="J201" i="1"/>
  <c r="J196" i="1"/>
  <c r="I238" i="1"/>
  <c r="I220" i="1"/>
  <c r="I202" i="1"/>
  <c r="I237" i="1"/>
  <c r="I219" i="1"/>
  <c r="I201" i="1"/>
  <c r="I233" i="1"/>
  <c r="I215" i="1"/>
  <c r="I197" i="1"/>
  <c r="I196" i="1"/>
  <c r="H238" i="1" l="1"/>
  <c r="H220" i="1"/>
  <c r="H202" i="1"/>
  <c r="H237" i="1"/>
  <c r="H219" i="1"/>
  <c r="H201" i="1"/>
  <c r="H197" i="1"/>
  <c r="H233" i="1"/>
  <c r="H215" i="1"/>
  <c r="H232" i="1"/>
  <c r="H214" i="1"/>
  <c r="H196" i="1"/>
  <c r="G242" i="1"/>
  <c r="G240" i="1"/>
  <c r="G239" i="1"/>
  <c r="G238" i="1"/>
  <c r="G237" i="1"/>
  <c r="G235" i="1"/>
  <c r="G233" i="1"/>
  <c r="G232" i="1"/>
  <c r="G224" i="1"/>
  <c r="G222" i="1"/>
  <c r="G221" i="1"/>
  <c r="G220" i="1"/>
  <c r="G219" i="1"/>
  <c r="G217" i="1"/>
  <c r="G215" i="1"/>
  <c r="G214" i="1"/>
  <c r="G206" i="1"/>
  <c r="G204" i="1"/>
  <c r="G203" i="1"/>
  <c r="G202" i="1"/>
  <c r="G201" i="1"/>
  <c r="G199" i="1"/>
  <c r="G197" i="1"/>
  <c r="G196" i="1"/>
  <c r="F242" i="1" l="1"/>
  <c r="F224" i="1"/>
  <c r="F206" i="1"/>
  <c r="F238" i="1"/>
  <c r="F220" i="1"/>
  <c r="F202" i="1"/>
  <c r="F219" i="1"/>
  <c r="F237" i="1"/>
  <c r="F201" i="1"/>
  <c r="F235" i="1" l="1"/>
  <c r="F217" i="1"/>
  <c r="F199" i="1"/>
  <c r="F215" i="1"/>
  <c r="F233" i="1"/>
  <c r="F232" i="1"/>
  <c r="F214" i="1"/>
  <c r="H160" i="1"/>
  <c r="H158" i="1"/>
  <c r="H144" i="1"/>
  <c r="H154" i="1"/>
  <c r="H153" i="1"/>
  <c r="G157" i="1"/>
  <c r="G131" i="1"/>
  <c r="G96" i="1"/>
  <c r="F109" i="1"/>
  <c r="F62" i="1"/>
  <c r="H47" i="1"/>
  <c r="G47" i="1"/>
  <c r="F12" i="1"/>
  <c r="F28" i="1"/>
  <c r="F40" i="2" l="1"/>
  <c r="D39" i="2"/>
  <c r="G654" i="1" l="1"/>
  <c r="F47" i="2" l="1"/>
  <c r="E47" i="2"/>
  <c r="D47" i="2"/>
  <c r="C47" i="2"/>
  <c r="F46" i="2"/>
  <c r="E46" i="2"/>
  <c r="E49" i="2" s="1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C110" i="2" s="1"/>
  <c r="L235" i="1"/>
  <c r="F6" i="13"/>
  <c r="G6" i="13"/>
  <c r="L201" i="1"/>
  <c r="L219" i="1"/>
  <c r="L237" i="1"/>
  <c r="F7" i="13"/>
  <c r="G7" i="13"/>
  <c r="L202" i="1"/>
  <c r="L220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F661" i="1" s="1"/>
  <c r="L225" i="1"/>
  <c r="G649" i="1" s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G31" i="13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A40" i="12" s="1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C55" i="2" s="1"/>
  <c r="G59" i="1"/>
  <c r="H59" i="1"/>
  <c r="I59" i="1"/>
  <c r="F78" i="1"/>
  <c r="C56" i="2" s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9" i="10"/>
  <c r="L249" i="1"/>
  <c r="L331" i="1"/>
  <c r="L253" i="1"/>
  <c r="C24" i="10" s="1"/>
  <c r="L267" i="1"/>
  <c r="L268" i="1"/>
  <c r="L348" i="1"/>
  <c r="L349" i="1"/>
  <c r="I664" i="1"/>
  <c r="I669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50" i="1" s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D18" i="2" s="1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E18" i="2" s="1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D55" i="2"/>
  <c r="E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9" i="2" s="1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C102" i="2" s="1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E110" i="2"/>
  <c r="E111" i="2"/>
  <c r="C112" i="2"/>
  <c r="E112" i="2"/>
  <c r="C113" i="2"/>
  <c r="E113" i="2"/>
  <c r="D114" i="2"/>
  <c r="F114" i="2"/>
  <c r="G114" i="2"/>
  <c r="E117" i="2"/>
  <c r="E118" i="2"/>
  <c r="E119" i="2"/>
  <c r="E120" i="2"/>
  <c r="C121" i="2"/>
  <c r="E121" i="2"/>
  <c r="E122" i="2"/>
  <c r="E123" i="2"/>
  <c r="C124" i="2"/>
  <c r="E124" i="2"/>
  <c r="F127" i="2"/>
  <c r="G127" i="2"/>
  <c r="C129" i="2"/>
  <c r="E129" i="2"/>
  <c r="F129" i="2"/>
  <c r="D133" i="2"/>
  <c r="D14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G155" i="2" s="1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C162" i="2"/>
  <c r="D162" i="2"/>
  <c r="E162" i="2"/>
  <c r="F162" i="2"/>
  <c r="F502" i="1"/>
  <c r="B163" i="2" s="1"/>
  <c r="G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K337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G473" i="1"/>
  <c r="I473" i="1"/>
  <c r="J473" i="1"/>
  <c r="K494" i="1"/>
  <c r="K495" i="1"/>
  <c r="K496" i="1"/>
  <c r="K497" i="1"/>
  <c r="K498" i="1"/>
  <c r="K500" i="1"/>
  <c r="K501" i="1"/>
  <c r="F516" i="1"/>
  <c r="G516" i="1"/>
  <c r="H516" i="1"/>
  <c r="I516" i="1"/>
  <c r="F523" i="1"/>
  <c r="G523" i="1"/>
  <c r="H523" i="1"/>
  <c r="I523" i="1"/>
  <c r="J523" i="1"/>
  <c r="K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G633" i="1"/>
  <c r="H634" i="1"/>
  <c r="H635" i="1"/>
  <c r="H636" i="1"/>
  <c r="H637" i="1"/>
  <c r="G638" i="1"/>
  <c r="H638" i="1"/>
  <c r="G639" i="1"/>
  <c r="H639" i="1"/>
  <c r="G640" i="1"/>
  <c r="H640" i="1"/>
  <c r="G641" i="1"/>
  <c r="J641" i="1" s="1"/>
  <c r="H641" i="1"/>
  <c r="G642" i="1"/>
  <c r="H642" i="1"/>
  <c r="G643" i="1"/>
  <c r="H643" i="1"/>
  <c r="G644" i="1"/>
  <c r="H644" i="1"/>
  <c r="G648" i="1"/>
  <c r="G651" i="1"/>
  <c r="H651" i="1"/>
  <c r="J651" i="1"/>
  <c r="G652" i="1"/>
  <c r="H652" i="1"/>
  <c r="J652" i="1" s="1"/>
  <c r="G653" i="1"/>
  <c r="H653" i="1"/>
  <c r="J653" i="1" s="1"/>
  <c r="H654" i="1"/>
  <c r="F191" i="1"/>
  <c r="F31" i="2"/>
  <c r="C26" i="10"/>
  <c r="A31" i="12"/>
  <c r="G8" i="2"/>
  <c r="D61" i="2"/>
  <c r="D62" i="2" s="1"/>
  <c r="D18" i="13"/>
  <c r="C18" i="13" s="1"/>
  <c r="F102" i="2"/>
  <c r="D17" i="13"/>
  <c r="C17" i="13" s="1"/>
  <c r="C90" i="2"/>
  <c r="G80" i="2"/>
  <c r="F77" i="2"/>
  <c r="F80" i="2" s="1"/>
  <c r="F61" i="2"/>
  <c r="F62" i="2" s="1"/>
  <c r="D49" i="2"/>
  <c r="G156" i="2"/>
  <c r="F49" i="2"/>
  <c r="F50" i="2" s="1"/>
  <c r="F18" i="2"/>
  <c r="G160" i="2"/>
  <c r="G157" i="2"/>
  <c r="G102" i="2"/>
  <c r="E102" i="2"/>
  <c r="D90" i="2"/>
  <c r="F90" i="2"/>
  <c r="E61" i="2"/>
  <c r="E62" i="2" s="1"/>
  <c r="E31" i="2"/>
  <c r="G61" i="2"/>
  <c r="D19" i="13"/>
  <c r="C19" i="13" s="1"/>
  <c r="E13" i="13"/>
  <c r="C13" i="13" s="1"/>
  <c r="L613" i="1" l="1"/>
  <c r="G570" i="1"/>
  <c r="L255" i="1"/>
  <c r="L538" i="1"/>
  <c r="I662" i="1"/>
  <c r="L533" i="1"/>
  <c r="L528" i="1"/>
  <c r="F544" i="1"/>
  <c r="L523" i="1"/>
  <c r="G159" i="2"/>
  <c r="G162" i="2"/>
  <c r="K502" i="1"/>
  <c r="G158" i="2"/>
  <c r="K499" i="1"/>
  <c r="E114" i="2"/>
  <c r="H660" i="1"/>
  <c r="G660" i="1"/>
  <c r="D126" i="2"/>
  <c r="D127" i="2" s="1"/>
  <c r="D144" i="2" s="1"/>
  <c r="F660" i="1"/>
  <c r="D29" i="13"/>
  <c r="C29" i="13" s="1"/>
  <c r="L361" i="1"/>
  <c r="J337" i="1"/>
  <c r="J351" i="1" s="1"/>
  <c r="F31" i="13"/>
  <c r="L327" i="1"/>
  <c r="L289" i="1"/>
  <c r="J648" i="1"/>
  <c r="C21" i="10"/>
  <c r="H646" i="1"/>
  <c r="K256" i="1"/>
  <c r="K270" i="1" s="1"/>
  <c r="G33" i="13"/>
  <c r="I256" i="1"/>
  <c r="I270" i="1" s="1"/>
  <c r="H661" i="1"/>
  <c r="G661" i="1"/>
  <c r="D15" i="13"/>
  <c r="C15" i="13" s="1"/>
  <c r="J649" i="1"/>
  <c r="C123" i="2"/>
  <c r="G650" i="1"/>
  <c r="C18" i="10"/>
  <c r="C11" i="10"/>
  <c r="C122" i="2"/>
  <c r="C108" i="2"/>
  <c r="D14" i="13"/>
  <c r="C14" i="13" s="1"/>
  <c r="C20" i="10"/>
  <c r="C17" i="10"/>
  <c r="C12" i="10"/>
  <c r="G256" i="1"/>
  <c r="G270" i="1" s="1"/>
  <c r="L210" i="1"/>
  <c r="C120" i="2"/>
  <c r="D12" i="13"/>
  <c r="C12" i="13" s="1"/>
  <c r="E8" i="13"/>
  <c r="C8" i="13" s="1"/>
  <c r="C119" i="2"/>
  <c r="L228" i="1"/>
  <c r="C117" i="2"/>
  <c r="C15" i="10"/>
  <c r="D6" i="13"/>
  <c r="C6" i="13" s="1"/>
  <c r="C111" i="2"/>
  <c r="C13" i="10"/>
  <c r="A22" i="12"/>
  <c r="C10" i="10"/>
  <c r="E90" i="2"/>
  <c r="K351" i="1"/>
  <c r="E133" i="2"/>
  <c r="E143" i="2" s="1"/>
  <c r="C77" i="2"/>
  <c r="C80" i="2" s="1"/>
  <c r="F139" i="1"/>
  <c r="C61" i="2"/>
  <c r="C62" i="2" s="1"/>
  <c r="J618" i="1"/>
  <c r="D50" i="2"/>
  <c r="C31" i="2"/>
  <c r="F51" i="1"/>
  <c r="H616" i="1" s="1"/>
  <c r="J616" i="1" s="1"/>
  <c r="C18" i="2"/>
  <c r="E77" i="2"/>
  <c r="E80" i="2" s="1"/>
  <c r="F103" i="2"/>
  <c r="L426" i="1"/>
  <c r="J256" i="1"/>
  <c r="H647" i="1" s="1"/>
  <c r="H111" i="1"/>
  <c r="F111" i="1"/>
  <c r="J640" i="1"/>
  <c r="J638" i="1"/>
  <c r="K604" i="1"/>
  <c r="G647" i="1" s="1"/>
  <c r="J570" i="1"/>
  <c r="K570" i="1"/>
  <c r="L432" i="1"/>
  <c r="L418" i="1"/>
  <c r="D80" i="2"/>
  <c r="D103" i="2" s="1"/>
  <c r="I168" i="1"/>
  <c r="H168" i="1"/>
  <c r="H192" i="1" s="1"/>
  <c r="G628" i="1" s="1"/>
  <c r="J628" i="1" s="1"/>
  <c r="G551" i="1"/>
  <c r="L433" i="1"/>
  <c r="G637" i="1" s="1"/>
  <c r="E50" i="2"/>
  <c r="J643" i="1"/>
  <c r="J642" i="1"/>
  <c r="J475" i="1"/>
  <c r="H625" i="1" s="1"/>
  <c r="I475" i="1"/>
  <c r="H624" i="1" s="1"/>
  <c r="G475" i="1"/>
  <c r="H622" i="1" s="1"/>
  <c r="J622" i="1" s="1"/>
  <c r="G337" i="1"/>
  <c r="G351" i="1" s="1"/>
  <c r="C23" i="10"/>
  <c r="F168" i="1"/>
  <c r="C39" i="10" s="1"/>
  <c r="J139" i="1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L308" i="1"/>
  <c r="D5" i="13"/>
  <c r="E16" i="13"/>
  <c r="J624" i="1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G544" i="1"/>
  <c r="H544" i="1"/>
  <c r="K550" i="1"/>
  <c r="F143" i="2"/>
  <c r="F144" i="2" s="1"/>
  <c r="L570" i="1" l="1"/>
  <c r="J647" i="1"/>
  <c r="L544" i="1"/>
  <c r="K551" i="1"/>
  <c r="I660" i="1"/>
  <c r="C27" i="10"/>
  <c r="G634" i="1"/>
  <c r="J634" i="1" s="1"/>
  <c r="F659" i="1"/>
  <c r="F663" i="1" s="1"/>
  <c r="F666" i="1" s="1"/>
  <c r="J270" i="1"/>
  <c r="I661" i="1"/>
  <c r="C114" i="2"/>
  <c r="E144" i="2"/>
  <c r="C38" i="10"/>
  <c r="C103" i="2"/>
  <c r="C36" i="10"/>
  <c r="F192" i="1"/>
  <c r="G626" i="1" s="1"/>
  <c r="J626" i="1" s="1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C25" i="13"/>
  <c r="H33" i="13"/>
  <c r="G630" i="1"/>
  <c r="J630" i="1" s="1"/>
  <c r="G645" i="1"/>
  <c r="G625" i="1"/>
  <c r="J51" i="1"/>
  <c r="H620" i="1" s="1"/>
  <c r="J620" i="1" s="1"/>
  <c r="G632" i="1" l="1"/>
  <c r="H471" i="1"/>
  <c r="F671" i="1"/>
  <c r="C4" i="10" s="1"/>
  <c r="C41" i="10"/>
  <c r="D39" i="10" s="1"/>
  <c r="G636" i="1"/>
  <c r="J636" i="1" s="1"/>
  <c r="H645" i="1"/>
  <c r="J645" i="1" s="1"/>
  <c r="G663" i="1"/>
  <c r="J625" i="1"/>
  <c r="J632" i="1" l="1"/>
  <c r="H473" i="1"/>
  <c r="H475" i="1" s="1"/>
  <c r="H623" i="1" s="1"/>
  <c r="J623" i="1" s="1"/>
  <c r="H632" i="1"/>
  <c r="D40" i="10"/>
  <c r="D35" i="10"/>
  <c r="D38" i="10"/>
  <c r="D37" i="10"/>
  <c r="D36" i="10"/>
  <c r="G671" i="1"/>
  <c r="C5" i="10" s="1"/>
  <c r="G666" i="1"/>
  <c r="D41" i="10" l="1"/>
  <c r="F246" i="1"/>
  <c r="F256" i="1" s="1"/>
  <c r="F270" i="1" s="1"/>
  <c r="L238" i="1"/>
  <c r="C16" i="10" s="1"/>
  <c r="L246" i="1" l="1"/>
  <c r="H659" i="1" s="1"/>
  <c r="H663" i="1" s="1"/>
  <c r="C28" i="10"/>
  <c r="C118" i="2"/>
  <c r="C127" i="2" s="1"/>
  <c r="C144" i="2" s="1"/>
  <c r="D7" i="13"/>
  <c r="I659" i="1" l="1"/>
  <c r="I663" i="1" s="1"/>
  <c r="I666" i="1" s="1"/>
  <c r="L256" i="1"/>
  <c r="L270" i="1" s="1"/>
  <c r="D22" i="10"/>
  <c r="D20" i="10"/>
  <c r="D13" i="10"/>
  <c r="D17" i="10"/>
  <c r="D24" i="10"/>
  <c r="D18" i="10"/>
  <c r="D12" i="10"/>
  <c r="D11" i="10"/>
  <c r="D21" i="10"/>
  <c r="D23" i="10"/>
  <c r="D25" i="10"/>
  <c r="D26" i="10"/>
  <c r="D10" i="10"/>
  <c r="D19" i="10"/>
  <c r="D15" i="10"/>
  <c r="C30" i="10"/>
  <c r="D27" i="10"/>
  <c r="D33" i="13"/>
  <c r="D36" i="13" s="1"/>
  <c r="C7" i="13"/>
  <c r="D16" i="10"/>
  <c r="H671" i="1"/>
  <c r="C6" i="10" s="1"/>
  <c r="H666" i="1"/>
  <c r="G631" i="1" l="1"/>
  <c r="F471" i="1"/>
  <c r="I671" i="1"/>
  <c r="C7" i="10" s="1"/>
  <c r="D28" i="10"/>
  <c r="H631" i="1" l="1"/>
  <c r="J631" i="1" s="1"/>
  <c r="F473" i="1"/>
  <c r="F475" i="1" s="1"/>
  <c r="H621" i="1" s="1"/>
  <c r="J621" i="1" s="1"/>
  <c r="H655" i="1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<sst xmlns="http://schemas.openxmlformats.org/spreadsheetml/2006/main" count="3949" uniqueCount="916">
  <si>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</si>
  <si>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</si>
  <si>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</si>
  <si>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</si>
  <si>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</si>
  <si>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</si>
  <si>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</si>
  <si>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</si>
  <si>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</si>
  <si>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</si>
  <si>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</si>
  <si>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</si>
  <si>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</si>
  <si>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</si>
  <si>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</si>
  <si>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</si>
  <si>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</si>
  <si>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</si>
  <si>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</si>
  <si>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</si>
  <si>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</si>
  <si>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</si>
  <si>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</si>
  <si>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</si>
  <si>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</si>
  <si>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</si>
  <si>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</si>
  <si>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</si>
  <si>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</si>
  <si>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</si>
  <si>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</si>
  <si>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</si>
  <si>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</si>
  <si>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</si>
  <si>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</si>
  <si>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</si>
  <si>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</si>
  <si>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</si>
  <si>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</si>
  <si>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</si>
  <si>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</si>
  <si>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</si>
  <si>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</si>
  <si>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</si>
  <si>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</si>
  <si>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</si>
  <si>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</si>
  <si>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</si>
  <si>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</si>
  <si>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</si>
  <si>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</si>
  <si>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</si>
  <si>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</si>
  <si>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</si>
  <si>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</si>
  <si>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</si>
  <si>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</si>
  <si>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</si>
  <si>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</si>
  <si>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</si>
  <si>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</si>
  <si>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</si>
  <si>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</si>
  <si>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</si>
  <si>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</si>
  <si>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</si>
  <si>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</si>
  <si>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</si>
  <si>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</si>
  <si>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</si>
  <si>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</si>
  <si>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</si>
  <si>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</si>
  <si>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</si>
  <si>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</si>
  <si>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</si>
  <si>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</si>
  <si>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</si>
  <si>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</si>
  <si>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</si>
  <si>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</si>
  <si>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</si>
  <si>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</si>
  <si>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</si>
  <si>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</si>
  <si>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</si>
  <si>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</si>
  <si>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</si>
  <si>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</si>
  <si>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</si>
  <si>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</si>
  <si>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</si>
  <si>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</si>
  <si>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</si>
  <si>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</si>
  <si>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</si>
  <si>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</si>
  <si>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</si>
  <si>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</si>
  <si>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</si>
  <si>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</si>
  <si>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</si>
  <si>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</si>
  <si>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</si>
  <si>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</si>
  <si>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</si>
  <si>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</si>
  <si>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</si>
  <si>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</si>
  <si>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</si>
  <si>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</si>
  <si>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</si>
  <si>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</si>
  <si>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</si>
  <si>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</si>
  <si>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</si>
  <si>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</si>
  <si>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</si>
  <si>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</si>
  <si>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</si>
  <si>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</si>
  <si>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</si>
  <si>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</si>
  <si>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</si>
  <si>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</si>
  <si>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</si>
  <si>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</si>
  <si>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</si>
  <si>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</si>
  <si>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</si>
  <si>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</si>
  <si>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</si>
  <si>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</si>
  <si>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</si>
  <si>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</si>
  <si>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</si>
  <si>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</si>
  <si>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</si>
  <si>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</si>
  <si>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</si>
  <si>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</si>
  <si>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</si>
  <si>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</si>
  <si>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</si>
  <si>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</si>
  <si>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</si>
  <si>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</si>
  <si>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</si>
  <si>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</si>
  <si>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</si>
  <si>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</si>
  <si>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</si>
  <si>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</si>
  <si>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</si>
  <si>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</si>
  <si>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</si>
  <si>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</si>
  <si>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</si>
  <si>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</si>
  <si>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</si>
  <si>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</si>
  <si>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</si>
  <si>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</si>
  <si>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</si>
  <si>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</si>
  <si>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</si>
  <si>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</si>
  <si>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</si>
  <si>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</si>
  <si>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</si>
  <si>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</si>
  <si>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</si>
  <si>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</si>
  <si>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</si>
  <si>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</si>
  <si>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</si>
  <si>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</si>
  <si>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</si>
  <si>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</si>
  <si>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</si>
  <si>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</si>
  <si>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</si>
  <si>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</si>
  <si>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</si>
  <si>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</si>
  <si>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</si>
  <si>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</si>
  <si>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</si>
  <si>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</si>
  <si>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</si>
  <si>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</si>
  <si>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</si>
  <si>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</si>
  <si>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</si>
  <si>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</si>
  <si>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</si>
  <si>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</si>
  <si>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</si>
  <si>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</si>
  <si>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</si>
  <si>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</si>
  <si>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</si>
  <si>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</si>
  <si>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</si>
  <si>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</si>
  <si>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</si>
  <si>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</si>
  <si>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</si>
  <si>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</si>
  <si>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</si>
  <si>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</si>
  <si>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</si>
  <si>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</si>
  <si>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</si>
  <si>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</si>
  <si>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</si>
  <si>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</si>
  <si>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</si>
  <si>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</si>
  <si>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</si>
  <si>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</si>
  <si>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</si>
  <si>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</si>
  <si>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</si>
  <si>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</si>
  <si>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</si>
  <si>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</si>
  <si>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</si>
  <si>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</si>
  <si>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</si>
  <si>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</si>
  <si>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</si>
  <si>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</si>
  <si>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</si>
  <si>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</si>
  <si>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</si>
  <si>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</si>
  <si>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</si>
  <si>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</si>
  <si>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</si>
  <si>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</si>
  <si>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</si>
  <si>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</si>
  <si>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</si>
  <si>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</si>
  <si>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</si>
  <si>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</si>
  <si>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</si>
  <si>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</si>
  <si>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</si>
  <si>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</si>
  <si>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</si>
  <si>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</si>
  <si>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</si>
  <si>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</si>
  <si>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</si>
  <si>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</si>
  <si>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</si>
  <si>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</si>
  <si>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</si>
  <si>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</si>
  <si>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</si>
  <si>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</si>
  <si>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</si>
  <si>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</si>
  <si>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</si>
  <si>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</si>
  <si>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</si>
  <si>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</si>
  <si>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</si>
  <si>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</si>
  <si>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</si>
  <si>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</si>
  <si>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</si>
  <si>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</si>
  <si>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</si>
  <si>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</si>
  <si>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</si>
  <si>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</si>
  <si>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</si>
  <si>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</si>
  <si>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</si>
  <si>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</si>
  <si>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</si>
  <si>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</si>
  <si>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</si>
  <si>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</si>
  <si>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</si>
  <si>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</si>
  <si>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</si>
  <si>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</si>
  <si>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</si>
  <si>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</si>
  <si>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</si>
  <si>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</si>
  <si>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</si>
  <si>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</si>
  <si>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</si>
  <si>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</si>
  <si>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</si>
  <si>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</si>
  <si>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</si>
  <si>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</si>
  <si>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</si>
  <si>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</si>
  <si>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</si>
  <si>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</si>
  <si>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</si>
  <si>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</si>
  <si>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</si>
  <si>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</si>
  <si>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</si>
  <si>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</si>
  <si>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</si>
  <si>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</si>
  <si>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</si>
  <si>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</si>
  <si>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</si>
  <si>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</si>
  <si>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</si>
  <si>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</si>
  <si>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</si>
  <si>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</si>
  <si>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</si>
  <si>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</si>
  <si>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</si>
  <si>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</si>
  <si>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</si>
  <si>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</si>
  <si>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</si>
  <si>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</si>
  <si>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</si>
  <si>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</si>
  <si>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</si>
  <si>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</si>
  <si>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</si>
  <si>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</si>
  <si>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</si>
  <si>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</si>
  <si>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</si>
  <si>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</si>
  <si>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</si>
  <si>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</si>
  <si>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</si>
  <si>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</si>
  <si>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</si>
  <si>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</si>
  <si>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</si>
  <si>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</si>
  <si>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</si>
  <si>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</si>
  <si>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</si>
  <si>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</si>
  <si>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</si>
  <si>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</si>
  <si>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</si>
  <si>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</si>
  <si>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</si>
  <si>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</si>
  <si>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</si>
  <si>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</si>
  <si>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</si>
  <si>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</si>
  <si>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</si>
  <si>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</si>
  <si>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</si>
  <si>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</si>
  <si>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</si>
  <si>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</si>
  <si>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</si>
  <si>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</si>
  <si>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</si>
  <si>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</si>
  <si>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</si>
  <si>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</si>
  <si>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</si>
  <si>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</si>
  <si>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</si>
  <si>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</si>
  <si>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</si>
  <si>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</si>
  <si>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</si>
  <si>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</si>
  <si>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</si>
  <si>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</si>
  <si>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</si>
  <si>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</si>
  <si>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</si>
  <si>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</si>
  <si>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</si>
  <si>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</si>
  <si>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</si>
  <si>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</si>
  <si>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</si>
  <si>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</si>
  <si>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</si>
  <si>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</si>
  <si>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</si>
  <si>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</si>
  <si>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</si>
  <si>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</si>
  <si>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</si>
  <si>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</si>
  <si>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</si>
  <si>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</si>
  <si>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</si>
  <si>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</si>
  <si>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</si>
  <si>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</si>
  <si>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</si>
  <si>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</si>
  <si>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</si>
  <si>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</si>
  <si>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</si>
  <si>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</si>
  <si>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</si>
  <si>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</si>
  <si>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</si>
  <si>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</si>
  <si>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</si>
  <si>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</si>
  <si>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</si>
  <si>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</si>
  <si>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</si>
  <si>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</si>
  <si>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</si>
  <si>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</si>
  <si>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</si>
  <si>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</si>
  <si>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</si>
  <si>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</si>
  <si>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</si>
  <si>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</si>
  <si>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</si>
  <si>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</si>
  <si>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</si>
  <si>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</si>
  <si>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</si>
  <si>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</si>
  <si>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</si>
  <si>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</si>
  <si>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</si>
  <si>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</si>
  <si>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</si>
  <si>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</si>
  <si>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</si>
  <si>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</si>
  <si>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</si>
  <si>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</si>
  <si>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</si>
  <si>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</si>
  <si>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</si>
  <si>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</si>
  <si>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</si>
  <si>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</si>
  <si>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</si>
  <si>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</si>
  <si>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</si>
  <si>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</si>
  <si>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</si>
  <si>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</si>
  <si>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</si>
  <si>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</si>
  <si>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</si>
  <si>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</si>
  <si>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</si>
  <si>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</si>
  <si>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</si>
  <si>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</si>
  <si>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</si>
  <si>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</si>
  <si>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</si>
  <si>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</si>
  <si>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</si>
  <si>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</si>
  <si>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</si>
  <si>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</si>
  <si>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</si>
  <si>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</si>
  <si>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</si>
  <si>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</si>
  <si>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</si>
  <si>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</si>
  <si>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</si>
  <si>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</si>
  <si>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</si>
  <si>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</si>
  <si>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</si>
  <si>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</si>
  <si>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</si>
  <si>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</si>
  <si>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</si>
  <si>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</si>
  <si>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</si>
  <si>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</si>
  <si>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</si>
  <si>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</si>
  <si>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</si>
  <si>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</si>
  <si>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</si>
  <si>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</si>
  <si>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</si>
  <si>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</si>
  <si>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</si>
  <si>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</si>
  <si>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</si>
  <si>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</si>
  <si>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</si>
  <si>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</si>
  <si>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</si>
  <si>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</si>
  <si>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</si>
  <si>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</si>
  <si>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</si>
  <si>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</si>
  <si>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</si>
  <si>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</si>
  <si>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</si>
  <si>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</si>
  <si>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</si>
  <si>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</si>
  <si>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</si>
  <si>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</si>
  <si>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</si>
  <si>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</si>
  <si>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</si>
  <si>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</si>
  <si>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</si>
  <si>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</si>
  <si>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</si>
  <si>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</si>
  <si>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</si>
  <si>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</si>
  <si>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</si>
  <si>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</si>
  <si>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</si>
  <si>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</si>
  <si>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</si>
  <si>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</si>
  <si>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</si>
  <si>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</si>
  <si>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</si>
  <si>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</si>
  <si>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</si>
  <si>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</si>
  <si>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</si>
  <si>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</si>
  <si>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</si>
  <si>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</si>
  <si>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</si>
  <si>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</si>
  <si>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</si>
  <si>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</si>
  <si>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</si>
  <si>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</si>
  <si>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</si>
  <si>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</si>
  <si>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</si>
  <si>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</si>
  <si>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</si>
  <si>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</si>
  <si>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</si>
  <si>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</si>
  <si>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</si>
  <si>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</si>
  <si>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</si>
  <si>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</si>
  <si>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</si>
  <si>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</si>
  <si>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</si>
  <si>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</si>
  <si>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</si>
  <si>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</si>
  <si>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</si>
  <si>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</si>
  <si>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</si>
  <si>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</si>
  <si>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</si>
  <si>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</si>
  <si>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</si>
  <si>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</si>
  <si>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</si>
  <si>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</si>
  <si>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</si>
  <si>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</si>
  <si>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</si>
  <si>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</si>
  <si>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</si>
  <si>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</si>
  <si>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</si>
  <si>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</si>
  <si>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</si>
  <si>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</si>
  <si>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</si>
  <si>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</si>
  <si>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</si>
  <si>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</si>
  <si>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</si>
  <si>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</si>
  <si>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</si>
  <si>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</si>
  <si>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</si>
  <si>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</si>
  <si>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</si>
  <si>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</si>
  <si>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</si>
  <si>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</si>
  <si>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</si>
  <si>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</si>
  <si>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</si>
  <si>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</si>
  <si>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</si>
  <si>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</si>
  <si>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</si>
  <si>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</si>
  <si>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</si>
  <si>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</si>
  <si>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</si>
  <si>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</si>
  <si>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</si>
  <si>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</si>
  <si>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</si>
  <si>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</si>
  <si>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</si>
  <si>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</si>
  <si>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</si>
  <si>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</si>
  <si>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</si>
  <si>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</si>
  <si>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</si>
  <si>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</si>
  <si>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</si>
  <si>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</si>
  <si>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</si>
  <si>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</si>
  <si>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</si>
  <si>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</si>
  <si>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</si>
  <si>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</si>
  <si>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</si>
  <si>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</si>
  <si>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</si>
  <si>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</si>
  <si>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</si>
  <si>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</si>
  <si>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</si>
  <si>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</si>
  <si>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</si>
  <si>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</si>
  <si>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</si>
  <si>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</si>
  <si>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</si>
  <si>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</si>
  <si>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</si>
  <si>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</si>
  <si>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</si>
  <si>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</si>
  <si>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</si>
  <si>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</si>
  <si>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</si>
  <si>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</si>
  <si>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</si>
  <si>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</si>
  <si>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</si>
  <si>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</si>
  <si>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</si>
  <si>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</si>
  <si>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</si>
  <si>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</si>
  <si>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</si>
  <si>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</si>
  <si>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</si>
  <si>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</si>
  <si>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</si>
  <si>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</si>
  <si>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</si>
  <si>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</si>
  <si>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</si>
  <si>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</si>
  <si>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</si>
  <si>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</si>
  <si>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</si>
  <si>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</si>
  <si>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</si>
  <si>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</si>
  <si>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</si>
  <si>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</si>
  <si>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</si>
  <si>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</si>
  <si>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</si>
  <si>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</si>
  <si>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</si>
  <si>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</si>
  <si>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</si>
  <si>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</si>
  <si>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</si>
  <si>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</si>
  <si>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</si>
  <si>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</si>
  <si>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</si>
  <si>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</si>
  <si>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</si>
  <si>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</si>
  <si>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</si>
  <si>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</si>
  <si>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</si>
  <si>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</si>
  <si>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</si>
  <si>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</si>
  <si>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</si>
  <si>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</si>
  <si>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</si>
  <si>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</si>
  <si>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</si>
  <si>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</si>
  <si>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</si>
  <si>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</si>
  <si>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</si>
  <si>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</si>
  <si>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</si>
  <si>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</si>
  <si>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</si>
  <si>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</si>
  <si>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</si>
  <si>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</si>
  <si>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</si>
  <si>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</si>
  <si>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</si>
  <si>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</si>
  <si>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</si>
  <si>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</si>
  <si>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</si>
  <si>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</si>
  <si>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</si>
  <si>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</si>
  <si>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</si>
  <si>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</si>
  <si>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</si>
  <si>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</si>
  <si>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</si>
  <si>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</si>
  <si>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</si>
  <si>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</si>
  <si>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</si>
  <si>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</si>
  <si>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</si>
  <si>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</si>
  <si>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</si>
  <si>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</si>
  <si>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</si>
  <si>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</si>
  <si>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</si>
  <si>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</si>
  <si>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</si>
  <si>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</si>
  <si>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</si>
  <si>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</si>
  <si>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</si>
  <si>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</si>
  <si>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</si>
  <si>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</si>
  <si>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</si>
  <si>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</si>
  <si>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</si>
  <si>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</si>
  <si>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</si>
  <si>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</si>
  <si>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</si>
  <si>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</si>
  <si>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</si>
  <si>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</si>
  <si>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</si>
  <si>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</si>
  <si>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</si>
  <si>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</si>
  <si>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</si>
  <si>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</si>
  <si>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</si>
  <si>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</si>
  <si>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</si>
  <si>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</si>
  <si>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</si>
  <si>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</si>
  <si>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</si>
  <si>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</si>
  <si>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</si>
  <si>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</si>
  <si>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</si>
  <si>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</si>
  <si>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</si>
  <si>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</si>
  <si>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</si>
  <si>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</si>
  <si>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</si>
  <si>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</si>
  <si>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</si>
  <si>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</si>
  <si>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</si>
  <si>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</si>
  <si>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</si>
  <si>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</si>
  <si>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</si>
  <si>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</si>
  <si>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</si>
  <si>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</si>
  <si>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</si>
  <si>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</si>
  <si>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</si>
  <si>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</si>
  <si>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</si>
  <si>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</si>
  <si>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</si>
  <si>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</si>
  <si>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</si>
  <si>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</si>
  <si>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</si>
  <si>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</si>
  <si>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</si>
  <si>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</si>
  <si>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</si>
  <si>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</si>
  <si>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</si>
  <si>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</si>
  <si>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</si>
  <si>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</si>
  <si>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</si>
  <si>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</si>
  <si>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</si>
  <si>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</si>
  <si>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</si>
  <si>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</si>
  <si>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</si>
  <si>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</si>
  <si>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</si>
  <si>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</si>
  <si>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</si>
  <si>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</si>
  <si>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</si>
  <si>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</si>
  <si>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</si>
  <si>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</si>
  <si>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</si>
  <si>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</si>
  <si>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</si>
  <si>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</si>
  <si>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</si>
  <si>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</si>
  <si>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</si>
  <si>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</si>
  <si>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</si>
  <si>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</si>
  <si>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</si>
  <si>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</si>
  <si>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</si>
  <si>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</si>
  <si>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</si>
  <si>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</si>
  <si>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</si>
  <si>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</si>
  <si>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</si>
  <si>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</si>
  <si>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</si>
  <si>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</si>
  <si>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</si>
  <si>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</si>
  <si>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</si>
  <si>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</si>
  <si>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</si>
  <si>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</si>
  <si>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</si>
  <si>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</si>
  <si>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</si>
  <si>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</si>
  <si>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</si>
  <si>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</si>
  <si>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</si>
  <si>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</si>
  <si>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</si>
  <si>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</si>
  <si>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</si>
  <si>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</si>
  <si>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</si>
  <si>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</si>
  <si>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</si>
  <si>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</si>
  <si>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</si>
  <si>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</si>
  <si>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</si>
  <si>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</si>
  <si>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</si>
  <si>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</si>
  <si>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</si>
  <si>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</si>
  <si>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</si>
  <si>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</si>
  <si>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</si>
  <si>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</si>
  <si>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</si>
  <si>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</si>
  <si>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</si>
  <si>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</si>
  <si>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</si>
  <si>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</si>
  <si>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</si>
  <si>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</si>
  <si>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</si>
  <si>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</si>
  <si>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</si>
  <si>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</si>
  <si>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 xml:space="preserve">                      2011 Accounts payable not paid</t>
  </si>
  <si>
    <t xml:space="preserve">                2011  encumbrances paid,  $134,920</t>
  </si>
  <si>
    <t xml:space="preserve">           </t>
  </si>
  <si>
    <t xml:space="preserve">                     Rounding 0.24</t>
  </si>
  <si>
    <t>08/15/2005</t>
  </si>
  <si>
    <t>08/15/2025</t>
  </si>
  <si>
    <t>Epping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</si>
</sst>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915</v>
      </c>
      <c r="B2" s="21">
        <v>165</v>
      </c>
      <c r="C2" s="21">
        <v>165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1165266.6100000001</v>
      </c>
      <c r="G9" s="18">
        <v>84565.440000000002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40627.44+89936.78</f>
        <v>130564.22</v>
      </c>
      <c r="G12" s="18">
        <v>9184.17</v>
      </c>
      <c r="H12" s="18">
        <v>2125.64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12413.62</v>
      </c>
      <c r="G13" s="18"/>
      <c r="H13" s="18">
        <v>93348.74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300</v>
      </c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850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1309394.4500000002</v>
      </c>
      <c r="G19" s="41">
        <f>SUM(G9:G18)</f>
        <v>93749.61</v>
      </c>
      <c r="H19" s="41">
        <f>SUM(H9:H18)</f>
        <v>95474.38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2125.64</v>
      </c>
      <c r="G22" s="18">
        <v>40627.440000000002</v>
      </c>
      <c r="H22" s="18">
        <v>89936.78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360464.68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62399.95+370489.77+15133.59</f>
        <v>448023.31000000006</v>
      </c>
      <c r="G28" s="18">
        <v>2227.92</v>
      </c>
      <c r="H28" s="18">
        <v>3411.96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389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811002.63000000012</v>
      </c>
      <c r="G32" s="41">
        <f>SUM(G22:G31)</f>
        <v>42855.360000000001</v>
      </c>
      <c r="H32" s="41">
        <f>SUM(H22:H31)</f>
        <v>93348.74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f>31756.91+19137.34</f>
        <v>50894.25</v>
      </c>
      <c r="H47" s="18">
        <f>2870.64-745</f>
        <v>2125.64</v>
      </c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498391.82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498391.82</v>
      </c>
      <c r="G50" s="41">
        <f>SUM(G35:G49)</f>
        <v>50894.25</v>
      </c>
      <c r="H50" s="41">
        <f>SUM(H35:H49)</f>
        <v>2125.64</v>
      </c>
      <c r="I50" s="41">
        <f>SUM(I35:I49)</f>
        <v>0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1309394.4500000002</v>
      </c>
      <c r="G51" s="41">
        <f>G50+G32</f>
        <v>93749.61</v>
      </c>
      <c r="H51" s="41">
        <f>H50+H32</f>
        <v>95474.38</v>
      </c>
      <c r="I51" s="41">
        <f>I50+I32</f>
        <v>0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10104118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10104118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f>79725+13870</f>
        <v>93595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1750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>
        <v>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>
        <v>0</v>
      </c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>
        <v>3364.3</v>
      </c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98709.3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1091.5</v>
      </c>
      <c r="G95" s="18">
        <v>137.11000000000001</v>
      </c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145549.13+71000.75</f>
        <v>216549.88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8796.65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1573.7+130000</f>
        <v>131573.70000000001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141461.85</v>
      </c>
      <c r="G110" s="41">
        <f>SUM(G95:G109)</f>
        <v>216686.99</v>
      </c>
      <c r="H110" s="41">
        <f>SUM(H95:H109)</f>
        <v>0</v>
      </c>
      <c r="I110" s="41">
        <f>SUM(I95:I109)</f>
        <v>0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10344289.15</v>
      </c>
      <c r="G111" s="41">
        <f>G59+G110</f>
        <v>216686.99</v>
      </c>
      <c r="H111" s="41">
        <f>H59+H78+H93+H110</f>
        <v>0</v>
      </c>
      <c r="I111" s="41">
        <f>I59+I110</f>
        <v>0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3136087.79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1436032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2717.21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4574837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201874.6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38125.82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7854.34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f>3858.99+452.06</f>
        <v>4311.05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>
        <v>1350</v>
      </c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>
        <v>11777.18</v>
      </c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260981.94</v>
      </c>
      <c r="G135" s="41">
        <f>SUM(G122:G134)</f>
        <v>4311.05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4835818.9400000004</v>
      </c>
      <c r="G139" s="41">
        <f>G120+SUM(G135:G136)</f>
        <v>4311.05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>
        <f>1510.16</f>
        <v>1510.16</v>
      </c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1510.16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f>5471.84+3420.4+145224.82</f>
        <v>154117.06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f>2000+55288.32</f>
        <v>57288.32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f>102458.58+24448.9+169.65</f>
        <v>127077.13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f>422.4+214950.04+7886.95-304.1</f>
        <v>222955.29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171741.82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f>98637.45+3050</f>
        <v>101687.45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171741.82</v>
      </c>
      <c r="G161" s="41">
        <f>SUM(G149:G160)</f>
        <v>127077.13</v>
      </c>
      <c r="H161" s="41">
        <f>SUM(H149:H160)</f>
        <v>536048.12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>
        <v>19302.169999999998</v>
      </c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171741.82</v>
      </c>
      <c r="G168" s="41">
        <f>G146+G161+SUM(G162:G167)</f>
        <v>146379.29999999999</v>
      </c>
      <c r="H168" s="41">
        <f>H146+H161+SUM(H162:H167)</f>
        <v>537558.28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>
        <f>14149.88+54.71-0.96</f>
        <v>14203.63</v>
      </c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14203.63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14203.63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15366053.540000001</v>
      </c>
      <c r="G192" s="47">
        <f>G111+G139+G168+G191</f>
        <v>367377.33999999997</v>
      </c>
      <c r="H192" s="47">
        <f>H111+H139+H168+H191</f>
        <v>537558.28</v>
      </c>
      <c r="I192" s="47">
        <f>I111+I139+I168+I191</f>
        <v>0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1371196.69+266770.79</f>
        <v>1637967.48</v>
      </c>
      <c r="G196" s="18">
        <f>660395.71+455.88+120877.13+13475.08</f>
        <v>795203.79999999993</v>
      </c>
      <c r="H196" s="18">
        <f>500</f>
        <v>500</v>
      </c>
      <c r="I196" s="18">
        <f>89006.94+4253.17</f>
        <v>93260.11</v>
      </c>
      <c r="J196" s="18">
        <f>46886.89+5549</f>
        <v>52435.89</v>
      </c>
      <c r="K196" s="18"/>
      <c r="L196" s="19">
        <f>SUM(F196:K196)</f>
        <v>2579367.2799999998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561647.5+126407.11+76494.08+1712.5</f>
        <v>766261.19</v>
      </c>
      <c r="G197" s="18">
        <f>10248.95+268260.13+83492.12+6283.15</f>
        <v>368284.35000000003</v>
      </c>
      <c r="H197" s="18">
        <f>5473.79+2344.19+112.5</f>
        <v>7930.48</v>
      </c>
      <c r="I197" s="18">
        <f>278.91+6938.83+3385.38</f>
        <v>10603.119999999999</v>
      </c>
      <c r="J197" s="18">
        <v>707.63</v>
      </c>
      <c r="K197" s="18"/>
      <c r="L197" s="19">
        <f>SUM(F197:K197)</f>
        <v>1153786.77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29917.38</f>
        <v>29917.38</v>
      </c>
      <c r="G199" s="18">
        <f>2357.76+245.86</f>
        <v>2603.6200000000003</v>
      </c>
      <c r="H199" s="18">
        <v>4000</v>
      </c>
      <c r="I199" s="18">
        <v>474.98</v>
      </c>
      <c r="J199" s="18"/>
      <c r="K199" s="18"/>
      <c r="L199" s="19">
        <f>SUM(F199:K199)</f>
        <v>36995.980000000003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79188+76520.33+25102.36+57826+70399.79+57826</f>
        <v>366862.48</v>
      </c>
      <c r="G201" s="18">
        <f>24720.39+33663.93+11439+28190+48423.22+19996.63+3014.92</f>
        <v>169448.09000000003</v>
      </c>
      <c r="H201" s="18">
        <f>400+160+68287.64</f>
        <v>68847.64</v>
      </c>
      <c r="I201" s="18">
        <f>979.22+2260.32+7205.56</f>
        <v>10445.1</v>
      </c>
      <c r="J201" s="18">
        <f>116.85+2301.19</f>
        <v>2418.04</v>
      </c>
      <c r="K201" s="18">
        <v>84</v>
      </c>
      <c r="L201" s="19">
        <f t="shared" ref="L201:L207" si="0">SUM(F201:K201)</f>
        <v>618105.35000000009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13776.62+150+78910.3+69138.63</f>
        <v>161975.54999999999</v>
      </c>
      <c r="G202" s="18">
        <f>41262.29+9567.06+30706.74+1331.13</f>
        <v>82867.22</v>
      </c>
      <c r="H202" s="18">
        <f>20338.12</f>
        <v>20338.12</v>
      </c>
      <c r="I202" s="18">
        <f>31484.34+10020.15</f>
        <v>41504.49</v>
      </c>
      <c r="J202" s="18">
        <f>4474+1405+105270.8+5979.6</f>
        <v>117129.40000000001</v>
      </c>
      <c r="K202" s="18">
        <f>129.56</f>
        <v>129.56</v>
      </c>
      <c r="L202" s="19">
        <f t="shared" si="0"/>
        <v>423944.34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223263.73+54.71</f>
        <v>223318.44</v>
      </c>
      <c r="G203" s="18">
        <f>96816.35+40+1834.81</f>
        <v>98691.16</v>
      </c>
      <c r="H203" s="18">
        <v>35101.07</v>
      </c>
      <c r="I203" s="18">
        <v>7634</v>
      </c>
      <c r="J203" s="18"/>
      <c r="K203" s="18">
        <f>7553.88-0.96</f>
        <v>7552.92</v>
      </c>
      <c r="L203" s="19">
        <f t="shared" si="0"/>
        <v>372297.58999999997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251462.69</v>
      </c>
      <c r="G204" s="18">
        <f>126950.13+2066.55</f>
        <v>129016.68000000001</v>
      </c>
      <c r="H204" s="18">
        <v>25892.93</v>
      </c>
      <c r="I204" s="18">
        <v>4014.02</v>
      </c>
      <c r="J204" s="18">
        <v>2191</v>
      </c>
      <c r="K204" s="18">
        <v>1668</v>
      </c>
      <c r="L204" s="19">
        <f t="shared" si="0"/>
        <v>414245.32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77286.25+107350.14</f>
        <v>184636.39</v>
      </c>
      <c r="G206" s="18">
        <f>33+1517.36+30600.2+56920.46</f>
        <v>89071.02</v>
      </c>
      <c r="H206" s="18">
        <v>182247.15</v>
      </c>
      <c r="I206" s="18">
        <v>220482.77</v>
      </c>
      <c r="J206" s="18">
        <v>5413.92</v>
      </c>
      <c r="K206" s="18"/>
      <c r="L206" s="19">
        <f t="shared" si="0"/>
        <v>681851.25000000012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192119.16+37005.6-1105.03</f>
        <v>228019.73</v>
      </c>
      <c r="I207" s="18"/>
      <c r="J207" s="18"/>
      <c r="K207" s="18"/>
      <c r="L207" s="19">
        <f t="shared" si="0"/>
        <v>228019.73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3622401.5999999996</v>
      </c>
      <c r="G210" s="41">
        <f t="shared" si="1"/>
        <v>1735185.94</v>
      </c>
      <c r="H210" s="41">
        <f t="shared" si="1"/>
        <v>572877.12</v>
      </c>
      <c r="I210" s="41">
        <f t="shared" si="1"/>
        <v>388418.58999999997</v>
      </c>
      <c r="J210" s="41">
        <f t="shared" si="1"/>
        <v>180295.88000000003</v>
      </c>
      <c r="K210" s="41">
        <f t="shared" si="1"/>
        <v>9434.48</v>
      </c>
      <c r="L210" s="41">
        <f t="shared" si="1"/>
        <v>6508613.6100000003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f>840402.73</f>
        <v>840402.73</v>
      </c>
      <c r="G214" s="18">
        <f>391414.29+6906.53</f>
        <v>398320.82</v>
      </c>
      <c r="H214" s="18">
        <f>1835.25</f>
        <v>1835.25</v>
      </c>
      <c r="I214" s="18">
        <v>68747.89</v>
      </c>
      <c r="J214" s="18">
        <v>8367.3799999999992</v>
      </c>
      <c r="K214" s="18"/>
      <c r="L214" s="19">
        <f>SUM(F214:K214)</f>
        <v>1317674.0699999998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f>349939.01+34079.24</f>
        <v>384018.25</v>
      </c>
      <c r="G215" s="18">
        <f>4566.06+108748.44+40+3155.91</f>
        <v>116510.41</v>
      </c>
      <c r="H215" s="18">
        <f>90953.8</f>
        <v>90953.8</v>
      </c>
      <c r="I215" s="18">
        <f>125+1847.46</f>
        <v>1972.46</v>
      </c>
      <c r="J215" s="18">
        <v>1919.38</v>
      </c>
      <c r="K215" s="18"/>
      <c r="L215" s="19">
        <f>SUM(F215:K215)</f>
        <v>595374.30000000005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>
        <v>0</v>
      </c>
      <c r="G216" s="18">
        <v>0</v>
      </c>
      <c r="H216" s="18">
        <v>0</v>
      </c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f>32721.42+23299.41</f>
        <v>56020.83</v>
      </c>
      <c r="G217" s="18">
        <f>5407.32+1898.29+460.39</f>
        <v>7766</v>
      </c>
      <c r="H217" s="18">
        <v>10265.41</v>
      </c>
      <c r="I217" s="18">
        <v>3500.9</v>
      </c>
      <c r="J217" s="18">
        <v>6176</v>
      </c>
      <c r="K217" s="18"/>
      <c r="L217" s="19">
        <f>SUM(F217:K217)</f>
        <v>83729.14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f>22314.97+29585.61+11183.473+25588+31364.14</f>
        <v>120036.193</v>
      </c>
      <c r="G219" s="18">
        <f>7909.5+9059.47+5096.24+12559.06+19546.29+986.47</f>
        <v>55157.03</v>
      </c>
      <c r="H219" s="18">
        <f>267.79+23099.36</f>
        <v>23367.15</v>
      </c>
      <c r="I219" s="18">
        <f>1800+1134.02+1928.13</f>
        <v>4862.1499999999996</v>
      </c>
      <c r="J219" s="18">
        <f>25.51+820.71</f>
        <v>846.22</v>
      </c>
      <c r="K219" s="18"/>
      <c r="L219" s="19">
        <f t="shared" ref="L219:L225" si="2">SUM(F219:K219)</f>
        <v>204268.74299999999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f>5775+1022+24172.89+30802.28</f>
        <v>61772.17</v>
      </c>
      <c r="G220" s="18">
        <f>18477+18382.96+9068.2+507.65</f>
        <v>46435.810000000005</v>
      </c>
      <c r="H220" s="18">
        <f>9060.93+75</f>
        <v>9135.93</v>
      </c>
      <c r="I220" s="18">
        <f>14026.74+10935.7</f>
        <v>24962.440000000002</v>
      </c>
      <c r="J220" s="18">
        <f>1000+46899.7+2664</f>
        <v>50563.7</v>
      </c>
      <c r="K220" s="18">
        <f>57.72</f>
        <v>57.72</v>
      </c>
      <c r="L220" s="19">
        <f t="shared" si="2"/>
        <v>192927.77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99467.29</v>
      </c>
      <c r="G221" s="18">
        <f>43133.11+817.43</f>
        <v>43950.54</v>
      </c>
      <c r="H221" s="18">
        <v>15638.04</v>
      </c>
      <c r="I221" s="18">
        <v>3401.06</v>
      </c>
      <c r="J221" s="18"/>
      <c r="K221" s="18">
        <v>3365.37</v>
      </c>
      <c r="L221" s="19">
        <f t="shared" si="2"/>
        <v>165822.29999999999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154427.9</v>
      </c>
      <c r="G222" s="18">
        <f>53367.18+2983+1269.11</f>
        <v>57619.29</v>
      </c>
      <c r="H222" s="18">
        <v>13905.82</v>
      </c>
      <c r="I222" s="18">
        <v>3670.09</v>
      </c>
      <c r="J222" s="18"/>
      <c r="K222" s="18">
        <v>2764</v>
      </c>
      <c r="L222" s="19">
        <f t="shared" si="2"/>
        <v>232387.1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f>80903.68+34432.16</f>
        <v>115335.84</v>
      </c>
      <c r="G224" s="18">
        <f>33+947.84+36360.42+13632.84</f>
        <v>50974.099999999991</v>
      </c>
      <c r="H224" s="18">
        <v>81193.789999999994</v>
      </c>
      <c r="I224" s="18">
        <v>98228.33</v>
      </c>
      <c r="J224" s="18">
        <v>2411.98</v>
      </c>
      <c r="K224" s="18"/>
      <c r="L224" s="19">
        <f t="shared" si="2"/>
        <v>348144.04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85591.92+9841.72-492.31</f>
        <v>94941.33</v>
      </c>
      <c r="I225" s="18"/>
      <c r="J225" s="18"/>
      <c r="K225" s="18"/>
      <c r="L225" s="19">
        <f t="shared" si="2"/>
        <v>94941.33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1831481.203</v>
      </c>
      <c r="G228" s="41">
        <f>SUM(G214:G227)</f>
        <v>776734.00000000012</v>
      </c>
      <c r="H228" s="41">
        <f>SUM(H214:H227)</f>
        <v>341236.52</v>
      </c>
      <c r="I228" s="41">
        <f>SUM(I214:I227)</f>
        <v>209345.32</v>
      </c>
      <c r="J228" s="41">
        <f>SUM(J214:J227)</f>
        <v>70284.659999999989</v>
      </c>
      <c r="K228" s="41">
        <f t="shared" si="3"/>
        <v>6187.09</v>
      </c>
      <c r="L228" s="41">
        <f t="shared" si="3"/>
        <v>3235268.7929999996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f>1141127.53</f>
        <v>1141127.53</v>
      </c>
      <c r="G232" s="18">
        <f>597245.03+9377.92</f>
        <v>606622.95000000007</v>
      </c>
      <c r="H232" s="18">
        <f>5001.53+315</f>
        <v>5316.53</v>
      </c>
      <c r="I232" s="18">
        <v>78530.710000000006</v>
      </c>
      <c r="J232" s="18">
        <v>11565.16</v>
      </c>
      <c r="K232" s="18">
        <v>206.04</v>
      </c>
      <c r="L232" s="19">
        <f>SUM(F232:K232)</f>
        <v>1843368.92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f>333909.58+42936.77</f>
        <v>376846.35000000003</v>
      </c>
      <c r="G233" s="18">
        <f>181442.32+5752.83+3096.97</f>
        <v>190292.12</v>
      </c>
      <c r="H233" s="18">
        <f>288362.52+32070</f>
        <v>320432.52</v>
      </c>
      <c r="I233" s="18">
        <f>150+4628.12</f>
        <v>4778.12</v>
      </c>
      <c r="J233" s="18">
        <v>2418.1999999999998</v>
      </c>
      <c r="K233" s="18"/>
      <c r="L233" s="19">
        <f>SUM(F233:K233)</f>
        <v>894767.30999999994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74745</v>
      </c>
      <c r="I234" s="18"/>
      <c r="J234" s="18"/>
      <c r="K234" s="18"/>
      <c r="L234" s="19">
        <f>SUM(F234:K234)</f>
        <v>74745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f>88873.17+29354.62</f>
        <v>118227.79</v>
      </c>
      <c r="G235" s="18">
        <f>11132.54+2391.62+971.61</f>
        <v>14495.77</v>
      </c>
      <c r="H235" s="18">
        <v>30682.53</v>
      </c>
      <c r="I235" s="18">
        <v>6750.4</v>
      </c>
      <c r="J235" s="18">
        <v>17674.189999999999</v>
      </c>
      <c r="K235" s="18">
        <v>5750</v>
      </c>
      <c r="L235" s="19">
        <f>SUM(F235:K235)</f>
        <v>193580.68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108412.2+37274.53+14090.17+32238+39516</f>
        <v>231530.9</v>
      </c>
      <c r="G237" s="18">
        <f>72518.74+11413.91+6420.81+15823.28+24626.12+1902.75</f>
        <v>132705.60999999999</v>
      </c>
      <c r="H237" s="18">
        <f>4966.5+337.38+29103.11</f>
        <v>34406.99</v>
      </c>
      <c r="I237" s="18">
        <f>2903.36+1428.74+2520.02</f>
        <v>6852.1200000000008</v>
      </c>
      <c r="J237" s="18">
        <f>32.14+1031.99</f>
        <v>1064.1300000000001</v>
      </c>
      <c r="K237" s="18">
        <f>500</f>
        <v>500</v>
      </c>
      <c r="L237" s="19">
        <f t="shared" ref="L237:L243" si="4">SUM(F237:K237)</f>
        <v>407059.75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1022+825+30455.11+14888.04+38808.09</f>
        <v>85998.239999999991</v>
      </c>
      <c r="G238" s="18">
        <f>23631.56+1246.67+23160.88+11424.91+706.74</f>
        <v>60170.76</v>
      </c>
      <c r="H238" s="18">
        <f>11415.96+75</f>
        <v>11490.96</v>
      </c>
      <c r="I238" s="18">
        <f>16370.28+17672.43</f>
        <v>34042.71</v>
      </c>
      <c r="J238" s="18">
        <f>59089.39+3356.4</f>
        <v>62445.79</v>
      </c>
      <c r="K238" s="18">
        <f>72.72</f>
        <v>72.72</v>
      </c>
      <c r="L238" s="19">
        <f t="shared" si="4"/>
        <v>254221.18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125319.82</v>
      </c>
      <c r="G239" s="18">
        <f>54343.84+40+1029.89</f>
        <v>55413.729999999996</v>
      </c>
      <c r="H239" s="18">
        <v>19702.53</v>
      </c>
      <c r="I239" s="18">
        <v>4285.03</v>
      </c>
      <c r="J239" s="18"/>
      <c r="K239" s="18">
        <v>4240.0600000000004</v>
      </c>
      <c r="L239" s="19">
        <f t="shared" si="4"/>
        <v>208961.16999999998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153179.89000000001</v>
      </c>
      <c r="G240" s="18">
        <f>52882.76+2869+1258.85</f>
        <v>57010.61</v>
      </c>
      <c r="H240" s="18">
        <v>16635.310000000001</v>
      </c>
      <c r="I240" s="18">
        <v>2747.12</v>
      </c>
      <c r="J240" s="18"/>
      <c r="K240" s="18">
        <v>11220</v>
      </c>
      <c r="L240" s="19">
        <f t="shared" si="4"/>
        <v>240792.93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f>43381.43+101929.5</f>
        <v>145310.93</v>
      </c>
      <c r="G242" s="18">
        <f>33+1194.18+45810.02+199.23+17176.15</f>
        <v>64412.58</v>
      </c>
      <c r="H242" s="18">
        <v>102296.86</v>
      </c>
      <c r="I242" s="18">
        <v>123758.84</v>
      </c>
      <c r="J242" s="18">
        <v>3038.88</v>
      </c>
      <c r="K242" s="18"/>
      <c r="L242" s="19">
        <f t="shared" si="4"/>
        <v>438818.08999999997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107838.11+73546.89-620.26</f>
        <v>180764.74</v>
      </c>
      <c r="I243" s="18"/>
      <c r="J243" s="18"/>
      <c r="K243" s="18"/>
      <c r="L243" s="19">
        <f t="shared" si="4"/>
        <v>180764.74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2377541.4500000002</v>
      </c>
      <c r="G246" s="41">
        <f t="shared" si="5"/>
        <v>1181124.1300000004</v>
      </c>
      <c r="H246" s="41">
        <f t="shared" si="5"/>
        <v>796473.97000000009</v>
      </c>
      <c r="I246" s="41">
        <f t="shared" si="5"/>
        <v>261745.05</v>
      </c>
      <c r="J246" s="41">
        <f t="shared" si="5"/>
        <v>98206.35</v>
      </c>
      <c r="K246" s="41">
        <f t="shared" si="5"/>
        <v>21988.82</v>
      </c>
      <c r="L246" s="41">
        <f t="shared" si="5"/>
        <v>4737079.7700000005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122920</v>
      </c>
      <c r="I254" s="18"/>
      <c r="J254" s="18"/>
      <c r="K254" s="18"/>
      <c r="L254" s="19">
        <f t="shared" si="6"/>
        <v>122920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122920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122920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7831424.2529999996</v>
      </c>
      <c r="G256" s="41">
        <f t="shared" si="8"/>
        <v>3693044.0700000003</v>
      </c>
      <c r="H256" s="41">
        <f t="shared" si="8"/>
        <v>1833507.61</v>
      </c>
      <c r="I256" s="41">
        <f t="shared" si="8"/>
        <v>859508.96</v>
      </c>
      <c r="J256" s="41">
        <f t="shared" si="8"/>
        <v>348786.89</v>
      </c>
      <c r="K256" s="41">
        <f t="shared" si="8"/>
        <v>37610.39</v>
      </c>
      <c r="L256" s="41">
        <f t="shared" si="8"/>
        <v>14603882.173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470000</v>
      </c>
      <c r="L259" s="19">
        <f>SUM(F259:K259)</f>
        <v>470000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440333.26</v>
      </c>
      <c r="L260" s="19">
        <f>SUM(F260:K260)</f>
        <v>440333.26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910333.26</v>
      </c>
      <c r="L269" s="41">
        <f t="shared" si="9"/>
        <v>910333.26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7831424.2529999996</v>
      </c>
      <c r="G270" s="42">
        <f t="shared" si="11"/>
        <v>3693044.0700000003</v>
      </c>
      <c r="H270" s="42">
        <f t="shared" si="11"/>
        <v>1833507.61</v>
      </c>
      <c r="I270" s="42">
        <f t="shared" si="11"/>
        <v>859508.96</v>
      </c>
      <c r="J270" s="42">
        <f t="shared" si="11"/>
        <v>348786.89</v>
      </c>
      <c r="K270" s="42">
        <f t="shared" si="11"/>
        <v>947943.65</v>
      </c>
      <c r="L270" s="42">
        <f t="shared" si="11"/>
        <v>15514215.433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72317.45+125812.89</f>
        <v>198130.34</v>
      </c>
      <c r="G275" s="18"/>
      <c r="H275" s="18">
        <v>3050</v>
      </c>
      <c r="I275" s="18">
        <f>3203.4</f>
        <v>3203.4</v>
      </c>
      <c r="J275" s="18"/>
      <c r="K275" s="18"/>
      <c r="L275" s="19">
        <f>SUM(F275:K275)</f>
        <v>204383.74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42481.62</f>
        <v>42481.62</v>
      </c>
      <c r="G276" s="18"/>
      <c r="H276" s="18"/>
      <c r="I276" s="18">
        <f>350</f>
        <v>350</v>
      </c>
      <c r="J276" s="18">
        <v>7722.35</v>
      </c>
      <c r="K276" s="18"/>
      <c r="L276" s="19">
        <f>SUM(F276:K276)</f>
        <v>50553.97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625+18876</f>
        <v>19501</v>
      </c>
      <c r="G280" s="18"/>
      <c r="H280" s="18"/>
      <c r="I280" s="18">
        <f>880</f>
        <v>880</v>
      </c>
      <c r="J280" s="18"/>
      <c r="K280" s="18"/>
      <c r="L280" s="19">
        <f t="shared" ref="L280:L286" si="12">SUM(F280:K280)</f>
        <v>20381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6531.47+4861.97</f>
        <v>11393.44</v>
      </c>
      <c r="G281" s="18">
        <v>100</v>
      </c>
      <c r="H281" s="18">
        <f>51750.37+14716.72+250+9427.07</f>
        <v>76144.160000000003</v>
      </c>
      <c r="I281" s="18">
        <f>1000+1380.85+9160.86</f>
        <v>11541.710000000001</v>
      </c>
      <c r="J281" s="18"/>
      <c r="K281" s="18">
        <v>2500</v>
      </c>
      <c r="L281" s="19">
        <f t="shared" si="12"/>
        <v>101679.31000000001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v>938.52</v>
      </c>
      <c r="G282" s="18"/>
      <c r="H282" s="18"/>
      <c r="I282" s="18"/>
      <c r="J282" s="18"/>
      <c r="K282" s="18"/>
      <c r="L282" s="19">
        <f t="shared" si="12"/>
        <v>938.52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>
        <v>752.51</v>
      </c>
      <c r="K285" s="18"/>
      <c r="L285" s="19">
        <f t="shared" si="12"/>
        <v>752.51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272444.92</v>
      </c>
      <c r="G289" s="42">
        <f t="shared" si="13"/>
        <v>100</v>
      </c>
      <c r="H289" s="42">
        <f t="shared" si="13"/>
        <v>79194.16</v>
      </c>
      <c r="I289" s="42">
        <f t="shared" si="13"/>
        <v>15975.11</v>
      </c>
      <c r="J289" s="42">
        <f t="shared" si="13"/>
        <v>8474.86</v>
      </c>
      <c r="K289" s="42">
        <f t="shared" si="13"/>
        <v>2500</v>
      </c>
      <c r="L289" s="41">
        <f t="shared" si="13"/>
        <v>378689.05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13160</v>
      </c>
      <c r="G294" s="18"/>
      <c r="H294" s="18"/>
      <c r="I294" s="18"/>
      <c r="J294" s="18">
        <v>2000</v>
      </c>
      <c r="K294" s="18"/>
      <c r="L294" s="19">
        <f>SUM(F294:K294)</f>
        <v>15160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f>51913.5</f>
        <v>51913.5</v>
      </c>
      <c r="G295" s="18"/>
      <c r="H295" s="18"/>
      <c r="I295" s="18">
        <v>175</v>
      </c>
      <c r="J295" s="18"/>
      <c r="K295" s="18"/>
      <c r="L295" s="19">
        <f>SUM(F295:K295)</f>
        <v>52088.5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f>2909.86+2166.08</f>
        <v>5075.9400000000005</v>
      </c>
      <c r="G300" s="18">
        <v>40</v>
      </c>
      <c r="H300" s="18">
        <f>1720+4199.9</f>
        <v>5919.9</v>
      </c>
      <c r="I300" s="18">
        <v>4081.3</v>
      </c>
      <c r="J300" s="18"/>
      <c r="K300" s="18"/>
      <c r="L300" s="19">
        <f t="shared" si="14"/>
        <v>15117.14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418.04</v>
      </c>
      <c r="G301" s="18"/>
      <c r="H301" s="18"/>
      <c r="I301" s="18"/>
      <c r="J301" s="18"/>
      <c r="K301" s="18"/>
      <c r="L301" s="19">
        <f t="shared" si="14"/>
        <v>418.04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>
        <v>335.25</v>
      </c>
      <c r="K304" s="18"/>
      <c r="L304" s="19">
        <f t="shared" si="14"/>
        <v>335.25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70567.48</v>
      </c>
      <c r="G308" s="42">
        <f t="shared" si="15"/>
        <v>40</v>
      </c>
      <c r="H308" s="42">
        <f t="shared" si="15"/>
        <v>5919.9</v>
      </c>
      <c r="I308" s="42">
        <f t="shared" si="15"/>
        <v>4256.3</v>
      </c>
      <c r="J308" s="42">
        <f t="shared" si="15"/>
        <v>2335.25</v>
      </c>
      <c r="K308" s="42">
        <f t="shared" si="15"/>
        <v>0</v>
      </c>
      <c r="L308" s="41">
        <f t="shared" si="15"/>
        <v>83118.929999999993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13160</v>
      </c>
      <c r="G313" s="18"/>
      <c r="H313" s="18"/>
      <c r="I313" s="18"/>
      <c r="J313" s="18"/>
      <c r="K313" s="18"/>
      <c r="L313" s="19">
        <f>SUM(F313:K313)</f>
        <v>13160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f>30360</f>
        <v>30360</v>
      </c>
      <c r="G314" s="18"/>
      <c r="H314" s="18"/>
      <c r="I314" s="18">
        <v>189</v>
      </c>
      <c r="J314" s="18"/>
      <c r="K314" s="18"/>
      <c r="L314" s="19">
        <f>SUM(F314:K314)</f>
        <v>30549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>
        <v>745</v>
      </c>
      <c r="L318" s="19">
        <f t="shared" ref="L318:L324" si="16">SUM(F318:K318)</f>
        <v>745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f>3666.16+2729.06</f>
        <v>6395.2199999999993</v>
      </c>
      <c r="G319" s="18">
        <v>60</v>
      </c>
      <c r="H319" s="18">
        <v>5291.49</v>
      </c>
      <c r="I319" s="18">
        <v>5142.07</v>
      </c>
      <c r="J319" s="18"/>
      <c r="K319" s="18"/>
      <c r="L319" s="19">
        <f t="shared" si="16"/>
        <v>16888.78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526.49</v>
      </c>
      <c r="G320" s="18"/>
      <c r="H320" s="18"/>
      <c r="I320" s="18"/>
      <c r="J320" s="18"/>
      <c r="K320" s="18"/>
      <c r="L320" s="19">
        <f t="shared" si="16"/>
        <v>526.49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>
        <v>422.4</v>
      </c>
      <c r="K323" s="18"/>
      <c r="L323" s="19">
        <f t="shared" si="16"/>
        <v>422.4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50441.71</v>
      </c>
      <c r="G327" s="42">
        <f t="shared" si="17"/>
        <v>60</v>
      </c>
      <c r="H327" s="42">
        <f t="shared" si="17"/>
        <v>5291.49</v>
      </c>
      <c r="I327" s="42">
        <f t="shared" si="17"/>
        <v>5331.07</v>
      </c>
      <c r="J327" s="42">
        <f t="shared" si="17"/>
        <v>422.4</v>
      </c>
      <c r="K327" s="42">
        <f t="shared" si="17"/>
        <v>745</v>
      </c>
      <c r="L327" s="41">
        <f t="shared" si="17"/>
        <v>62291.67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393454.11</v>
      </c>
      <c r="G337" s="41">
        <f t="shared" si="20"/>
        <v>200</v>
      </c>
      <c r="H337" s="41">
        <f t="shared" si="20"/>
        <v>90405.55</v>
      </c>
      <c r="I337" s="41">
        <f t="shared" si="20"/>
        <v>25562.48</v>
      </c>
      <c r="J337" s="41">
        <f t="shared" si="20"/>
        <v>11232.51</v>
      </c>
      <c r="K337" s="41">
        <f t="shared" si="20"/>
        <v>3245</v>
      </c>
      <c r="L337" s="41">
        <f t="shared" si="20"/>
        <v>524099.64999999997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>
        <v>14203.63</v>
      </c>
      <c r="L343" s="19">
        <f t="shared" ref="L343:L349" si="21">SUM(F343:K343)</f>
        <v>14203.63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14203.63</v>
      </c>
      <c r="L350" s="41">
        <f>SUM(L340:L349)</f>
        <v>14203.63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393454.11</v>
      </c>
      <c r="G351" s="41">
        <f>G337</f>
        <v>200</v>
      </c>
      <c r="H351" s="41">
        <f>H337</f>
        <v>90405.55</v>
      </c>
      <c r="I351" s="41">
        <f>I337</f>
        <v>25562.48</v>
      </c>
      <c r="J351" s="41">
        <f>J337</f>
        <v>11232.51</v>
      </c>
      <c r="K351" s="47">
        <f>K337+K350</f>
        <v>17448.629999999997</v>
      </c>
      <c r="L351" s="41">
        <f>L337+L350</f>
        <v>538303.27999999991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3604.58+42175.48</f>
        <v>45780.060000000005</v>
      </c>
      <c r="G357" s="18">
        <f>1960.63+3226.56+782.56</f>
        <v>5969.75</v>
      </c>
      <c r="H357" s="18">
        <f>936.76</f>
        <v>936.76</v>
      </c>
      <c r="I357" s="18">
        <f>10902.03+3086.36+43354.55</f>
        <v>57342.94</v>
      </c>
      <c r="J357" s="18">
        <f>3068.76</f>
        <v>3068.76</v>
      </c>
      <c r="K357" s="18">
        <f>471.89</f>
        <v>471.89</v>
      </c>
      <c r="L357" s="13">
        <f>SUM(F357:K357)</f>
        <v>113570.16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f>1605.89+39095.13</f>
        <v>40701.019999999997</v>
      </c>
      <c r="G358" s="18">
        <f>873.49+5255.43</f>
        <v>6128.92</v>
      </c>
      <c r="H358" s="18">
        <f>417.34</f>
        <v>417.34</v>
      </c>
      <c r="I358" s="18">
        <f>4857.02+50998.34</f>
        <v>55855.360000000001</v>
      </c>
      <c r="J358" s="18">
        <f>1367.18</f>
        <v>1367.18</v>
      </c>
      <c r="K358" s="18">
        <v>210.23</v>
      </c>
      <c r="L358" s="19">
        <f>SUM(F358:K358)</f>
        <v>104680.04999999997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f>2023.09+47360.17</f>
        <v>49383.259999999995</v>
      </c>
      <c r="G359" s="18">
        <f>1100.51+6621.25</f>
        <v>7721.76</v>
      </c>
      <c r="H359" s="18">
        <v>525.80999999999995</v>
      </c>
      <c r="I359" s="18">
        <f>6119.41+64252.15</f>
        <v>70371.56</v>
      </c>
      <c r="J359" s="18">
        <f>1722.52</f>
        <v>1722.52</v>
      </c>
      <c r="K359" s="18">
        <f>264.88</f>
        <v>264.88</v>
      </c>
      <c r="L359" s="19">
        <f>SUM(F359:K359)</f>
        <v>129989.79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135864.34</v>
      </c>
      <c r="G361" s="47">
        <f t="shared" si="22"/>
        <v>19820.43</v>
      </c>
      <c r="H361" s="47">
        <f t="shared" si="22"/>
        <v>1879.9099999999999</v>
      </c>
      <c r="I361" s="47">
        <f t="shared" si="22"/>
        <v>183569.86</v>
      </c>
      <c r="J361" s="47">
        <f t="shared" si="22"/>
        <v>6158.4600000000009</v>
      </c>
      <c r="K361" s="47">
        <f t="shared" si="22"/>
        <v>947</v>
      </c>
      <c r="L361" s="47">
        <f t="shared" si="22"/>
        <v>348239.99999999994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10408.02+43354.55</f>
        <v>53762.570000000007</v>
      </c>
      <c r="G366" s="18">
        <f>4636.93+48861.51</f>
        <v>53498.44</v>
      </c>
      <c r="H366" s="18">
        <f>5842.12+61559.98</f>
        <v>67402.100000000006</v>
      </c>
      <c r="I366" s="56">
        <f>SUM(F366:H366)</f>
        <v>174663.11000000002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494.01+3086.36</f>
        <v>3580.37</v>
      </c>
      <c r="G367" s="63">
        <f>220.09+2136.83</f>
        <v>2356.92</v>
      </c>
      <c r="H367" s="63">
        <f>277.29+2692.17</f>
        <v>2969.46</v>
      </c>
      <c r="I367" s="56">
        <f>SUM(F367:H367)</f>
        <v>8906.75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57342.94000000001</v>
      </c>
      <c r="G368" s="47">
        <f>SUM(G366:G367)</f>
        <v>55855.360000000001</v>
      </c>
      <c r="H368" s="47">
        <f>SUM(H366:H367)</f>
        <v>70371.560000000012</v>
      </c>
      <c r="I368" s="47">
        <f>SUM(I366:I367)</f>
        <v>183569.86000000002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629290.76</v>
      </c>
      <c r="G464" s="18">
        <v>31756.91</v>
      </c>
      <c r="H464" s="18">
        <v>2870.64</v>
      </c>
      <c r="I464" s="18"/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f>F192</f>
        <v>15366053.540000001</v>
      </c>
      <c r="G467" s="18">
        <f t="shared" ref="G467:H467" si="35">G192</f>
        <v>367377.33999999997</v>
      </c>
      <c r="H467" s="18">
        <f t="shared" si="35"/>
        <v>537558.28</v>
      </c>
      <c r="I467" s="18"/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>
        <f>17262.71+0.24</f>
        <v>17262.95</v>
      </c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15383316.49</v>
      </c>
      <c r="G469" s="53">
        <f>SUM(G467:G468)</f>
        <v>367377.33999999997</v>
      </c>
      <c r="H469" s="53">
        <f>SUM(H467:H468)</f>
        <v>537558.28</v>
      </c>
      <c r="I469" s="53">
        <f>SUM(I467:I468)</f>
        <v>0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L270</f>
        <v>15514215.433</v>
      </c>
      <c r="G471" s="18">
        <f>L361</f>
        <v>348239.99999999994</v>
      </c>
      <c r="H471" s="18">
        <f>L351</f>
        <v>538303.27999999991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15514215.433</v>
      </c>
      <c r="G473" s="53">
        <f>SUM(G471:G472)</f>
        <v>348239.99999999994</v>
      </c>
      <c r="H473" s="53">
        <f>SUM(H471:H472)</f>
        <v>538303.27999999991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498391.81699999981</v>
      </c>
      <c r="G475" s="53">
        <f>(G464+G469)- G473</f>
        <v>50894.25</v>
      </c>
      <c r="H475" s="53">
        <f>(H464+H469)- H473</f>
        <v>2125.6400000001304</v>
      </c>
      <c r="I475" s="53">
        <f>(I464+I469)- I473</f>
        <v>0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 t="s">
        <v>909</v>
      </c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 t="s">
        <v>912</v>
      </c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 t="s">
        <v>910</v>
      </c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913</v>
      </c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914</v>
      </c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12072350</v>
      </c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4.13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10040000</v>
      </c>
      <c r="G494" s="18"/>
      <c r="H494" s="18"/>
      <c r="I494" s="18"/>
      <c r="J494" s="18"/>
      <c r="K494" s="53">
        <f>SUM(F494:J494)</f>
        <v>10040000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6">SUM(F495:J495)</f>
        <v>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470000</v>
      </c>
      <c r="G496" s="18"/>
      <c r="H496" s="18"/>
      <c r="I496" s="18"/>
      <c r="J496" s="18"/>
      <c r="K496" s="53">
        <f t="shared" si="36"/>
        <v>470000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f>F494-F496</f>
        <v>9570000</v>
      </c>
      <c r="G497" s="205"/>
      <c r="H497" s="205"/>
      <c r="I497" s="205"/>
      <c r="J497" s="205"/>
      <c r="K497" s="206">
        <f t="shared" si="36"/>
        <v>9570000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3308069.87</v>
      </c>
      <c r="G498" s="18"/>
      <c r="H498" s="18"/>
      <c r="I498" s="18"/>
      <c r="J498" s="18"/>
      <c r="K498" s="53">
        <f t="shared" si="36"/>
        <v>3308069.87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12878069.870000001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6"/>
        <v>12878069.870000001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495000</v>
      </c>
      <c r="G500" s="205"/>
      <c r="H500" s="205"/>
      <c r="I500" s="205"/>
      <c r="J500" s="205"/>
      <c r="K500" s="206">
        <f t="shared" si="36"/>
        <v>495000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416213.26</v>
      </c>
      <c r="G501" s="18"/>
      <c r="H501" s="18"/>
      <c r="I501" s="18"/>
      <c r="J501" s="18"/>
      <c r="K501" s="53">
        <f t="shared" si="36"/>
        <v>416213.26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911213.26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6"/>
        <v>911213.26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>
        <v>104691.05</v>
      </c>
      <c r="G506" s="144">
        <v>1439.25</v>
      </c>
      <c r="H506" s="144"/>
      <c r="I506" s="144">
        <f>F506+G506-H506</f>
        <v>106130.3</v>
      </c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F276+F197</f>
        <v>808742.80999999994</v>
      </c>
      <c r="G520" s="18">
        <f t="shared" ref="G520:K520" si="37">G276+G197</f>
        <v>368284.35000000003</v>
      </c>
      <c r="H520" s="18">
        <f t="shared" si="37"/>
        <v>7930.48</v>
      </c>
      <c r="I520" s="18">
        <f t="shared" si="37"/>
        <v>10953.119999999999</v>
      </c>
      <c r="J520" s="18">
        <f t="shared" si="37"/>
        <v>8429.98</v>
      </c>
      <c r="K520" s="18">
        <f t="shared" si="37"/>
        <v>0</v>
      </c>
      <c r="L520" s="88">
        <f>SUM(F520:K520)</f>
        <v>1204340.74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f>F295+F215</f>
        <v>435931.75</v>
      </c>
      <c r="G521" s="18">
        <f t="shared" ref="G521:K521" si="38">G295+G215</f>
        <v>116510.41</v>
      </c>
      <c r="H521" s="18">
        <f t="shared" si="38"/>
        <v>90953.8</v>
      </c>
      <c r="I521" s="18">
        <f t="shared" si="38"/>
        <v>2147.46</v>
      </c>
      <c r="J521" s="18">
        <f t="shared" si="38"/>
        <v>1919.38</v>
      </c>
      <c r="K521" s="18">
        <f t="shared" si="38"/>
        <v>0</v>
      </c>
      <c r="L521" s="88">
        <f>SUM(F521:K521)</f>
        <v>647462.80000000005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F314+F233</f>
        <v>407206.35000000003</v>
      </c>
      <c r="G522" s="18">
        <f t="shared" ref="G522:K522" si="39">G314+G233</f>
        <v>190292.12</v>
      </c>
      <c r="H522" s="18">
        <f t="shared" si="39"/>
        <v>320432.52</v>
      </c>
      <c r="I522" s="18">
        <f t="shared" si="39"/>
        <v>4967.12</v>
      </c>
      <c r="J522" s="18">
        <f t="shared" si="39"/>
        <v>2418.1999999999998</v>
      </c>
      <c r="K522" s="18">
        <f t="shared" si="39"/>
        <v>0</v>
      </c>
      <c r="L522" s="88">
        <f>SUM(F522:K522)</f>
        <v>925316.30999999994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1651880.9100000001</v>
      </c>
      <c r="G523" s="108">
        <f t="shared" ref="G523:L523" si="40">SUM(G520:G522)</f>
        <v>675086.88</v>
      </c>
      <c r="H523" s="108">
        <f t="shared" si="40"/>
        <v>419316.80000000005</v>
      </c>
      <c r="I523" s="108">
        <f t="shared" si="40"/>
        <v>18067.699999999997</v>
      </c>
      <c r="J523" s="108">
        <f t="shared" si="40"/>
        <v>12767.560000000001</v>
      </c>
      <c r="K523" s="108">
        <f t="shared" si="40"/>
        <v>0</v>
      </c>
      <c r="L523" s="89">
        <f t="shared" si="40"/>
        <v>2777119.85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211154.15</v>
      </c>
      <c r="G525" s="18">
        <v>108048.85</v>
      </c>
      <c r="H525" s="18">
        <v>68287.64</v>
      </c>
      <c r="I525" s="18">
        <v>7205.56</v>
      </c>
      <c r="J525" s="18">
        <v>2069.88</v>
      </c>
      <c r="K525" s="18">
        <v>0</v>
      </c>
      <c r="L525" s="88">
        <f>SUM(F525:K525)</f>
        <v>396766.08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f>42547.62+25588.01</f>
        <v>68135.63</v>
      </c>
      <c r="G526" s="18">
        <v>37201.589999999997</v>
      </c>
      <c r="H526" s="18">
        <v>23099.360000000001</v>
      </c>
      <c r="I526" s="18">
        <v>1928.13</v>
      </c>
      <c r="J526" s="18">
        <v>922.17</v>
      </c>
      <c r="K526" s="18">
        <v>0</v>
      </c>
      <c r="L526" s="88">
        <f>SUM(F526:K526)</f>
        <v>131286.88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32237.99+53606.16</f>
        <v>85844.150000000009</v>
      </c>
      <c r="G527" s="18">
        <v>46870.21</v>
      </c>
      <c r="H527" s="18">
        <v>29103.11</v>
      </c>
      <c r="I527" s="18">
        <v>2520.02</v>
      </c>
      <c r="J527" s="18">
        <v>1161.8399999999999</v>
      </c>
      <c r="K527" s="18">
        <v>0</v>
      </c>
      <c r="L527" s="88">
        <f>SUM(F527:K527)</f>
        <v>165499.33000000002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365133.93000000005</v>
      </c>
      <c r="G528" s="89">
        <f t="shared" ref="G528:L528" si="41">SUM(G525:G527)</f>
        <v>192120.65</v>
      </c>
      <c r="H528" s="89">
        <f t="shared" si="41"/>
        <v>120490.11</v>
      </c>
      <c r="I528" s="89">
        <f t="shared" si="41"/>
        <v>11653.710000000001</v>
      </c>
      <c r="J528" s="89">
        <f t="shared" si="41"/>
        <v>4153.8900000000003</v>
      </c>
      <c r="K528" s="89">
        <f t="shared" si="41"/>
        <v>0</v>
      </c>
      <c r="L528" s="89">
        <f t="shared" si="41"/>
        <v>693552.29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74758.31</v>
      </c>
      <c r="G530" s="18">
        <v>34268.03</v>
      </c>
      <c r="H530" s="18">
        <v>3646.73</v>
      </c>
      <c r="I530" s="18">
        <v>2711.7</v>
      </c>
      <c r="J530" s="18">
        <v>0</v>
      </c>
      <c r="K530" s="18">
        <v>581.62</v>
      </c>
      <c r="L530" s="88">
        <f>SUM(F530:K530)</f>
        <v>115966.38999999998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33305.93</v>
      </c>
      <c r="G531" s="18">
        <v>15266.91</v>
      </c>
      <c r="H531" s="18">
        <v>1624.67</v>
      </c>
      <c r="I531" s="18">
        <v>1208.0999999999999</v>
      </c>
      <c r="J531" s="18">
        <v>0</v>
      </c>
      <c r="K531" s="18">
        <v>259.12</v>
      </c>
      <c r="L531" s="88">
        <f>SUM(F531:K531)</f>
        <v>51664.729999999996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41962.47</v>
      </c>
      <c r="G532" s="18">
        <v>19234.93</v>
      </c>
      <c r="H532" s="18">
        <v>2046.94</v>
      </c>
      <c r="I532" s="18">
        <v>1522.1</v>
      </c>
      <c r="J532" s="18">
        <v>0</v>
      </c>
      <c r="K532" s="18">
        <v>326.45999999999998</v>
      </c>
      <c r="L532" s="88">
        <f>SUM(F532:K532)</f>
        <v>65092.9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150026.71</v>
      </c>
      <c r="G533" s="89">
        <f t="shared" ref="G533:L533" si="42">SUM(G530:G532)</f>
        <v>68769.87</v>
      </c>
      <c r="H533" s="89">
        <f t="shared" si="42"/>
        <v>7318.34</v>
      </c>
      <c r="I533" s="89">
        <f t="shared" si="42"/>
        <v>5441.9</v>
      </c>
      <c r="J533" s="89">
        <f t="shared" si="42"/>
        <v>0</v>
      </c>
      <c r="K533" s="89">
        <f t="shared" si="42"/>
        <v>1167.2</v>
      </c>
      <c r="L533" s="89">
        <f t="shared" si="42"/>
        <v>232724.02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179</v>
      </c>
      <c r="I536" s="18"/>
      <c r="J536" s="18"/>
      <c r="K536" s="18"/>
      <c r="L536" s="88">
        <f>SUM(F536:K536)</f>
        <v>179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3">SUM(G535:G537)</f>
        <v>0</v>
      </c>
      <c r="H538" s="89">
        <f t="shared" si="43"/>
        <v>179</v>
      </c>
      <c r="I538" s="89">
        <f t="shared" si="43"/>
        <v>0</v>
      </c>
      <c r="J538" s="89">
        <f t="shared" si="43"/>
        <v>0</v>
      </c>
      <c r="K538" s="89">
        <f t="shared" si="43"/>
        <v>0</v>
      </c>
      <c r="L538" s="89">
        <f t="shared" si="43"/>
        <v>179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67745.27</v>
      </c>
      <c r="I540" s="18"/>
      <c r="J540" s="18"/>
      <c r="K540" s="18"/>
      <c r="L540" s="88">
        <f>SUM(F540:K540)</f>
        <v>67745.27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30181.52</v>
      </c>
      <c r="I541" s="18"/>
      <c r="J541" s="18"/>
      <c r="K541" s="18"/>
      <c r="L541" s="88">
        <f>SUM(F541:K541)</f>
        <v>30181.52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38025.99</v>
      </c>
      <c r="I542" s="18"/>
      <c r="J542" s="18"/>
      <c r="K542" s="18"/>
      <c r="L542" s="88">
        <f>SUM(F542:K542)</f>
        <v>38025.99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4">SUM(G540:G542)</f>
        <v>0</v>
      </c>
      <c r="H543" s="194">
        <f t="shared" si="44"/>
        <v>135952.78</v>
      </c>
      <c r="I543" s="194">
        <f t="shared" si="44"/>
        <v>0</v>
      </c>
      <c r="J543" s="194">
        <f t="shared" si="44"/>
        <v>0</v>
      </c>
      <c r="K543" s="194">
        <f t="shared" si="44"/>
        <v>0</v>
      </c>
      <c r="L543" s="194">
        <f t="shared" si="44"/>
        <v>135952.78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2167041.5500000003</v>
      </c>
      <c r="G544" s="89">
        <f t="shared" ref="G544:L544" si="45">G523+G528+G533+G538+G543</f>
        <v>935977.4</v>
      </c>
      <c r="H544" s="89">
        <f t="shared" si="45"/>
        <v>683257.03</v>
      </c>
      <c r="I544" s="89">
        <f t="shared" si="45"/>
        <v>35163.31</v>
      </c>
      <c r="J544" s="89">
        <f t="shared" si="45"/>
        <v>16921.45</v>
      </c>
      <c r="K544" s="89">
        <f t="shared" si="45"/>
        <v>1167.2</v>
      </c>
      <c r="L544" s="89">
        <f t="shared" si="45"/>
        <v>3839527.94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1204340.74</v>
      </c>
      <c r="G548" s="87">
        <f>L525</f>
        <v>396766.08</v>
      </c>
      <c r="H548" s="87">
        <f>L530</f>
        <v>115966.38999999998</v>
      </c>
      <c r="I548" s="87">
        <f>L535</f>
        <v>0</v>
      </c>
      <c r="J548" s="87">
        <f>L540</f>
        <v>67745.27</v>
      </c>
      <c r="K548" s="87">
        <f>SUM(F548:J548)</f>
        <v>1784818.48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647462.80000000005</v>
      </c>
      <c r="G549" s="87">
        <f>L526</f>
        <v>131286.88</v>
      </c>
      <c r="H549" s="87">
        <f>L531</f>
        <v>51664.729999999996</v>
      </c>
      <c r="I549" s="87">
        <f>L536</f>
        <v>179</v>
      </c>
      <c r="J549" s="87">
        <f>L541</f>
        <v>30181.52</v>
      </c>
      <c r="K549" s="87">
        <f>SUM(F549:J549)</f>
        <v>860774.93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925316.30999999994</v>
      </c>
      <c r="G550" s="87">
        <f>L527</f>
        <v>165499.33000000002</v>
      </c>
      <c r="H550" s="87">
        <f>L532</f>
        <v>65092.9</v>
      </c>
      <c r="I550" s="87">
        <f>L537</f>
        <v>0</v>
      </c>
      <c r="J550" s="87">
        <f>L542</f>
        <v>38025.99</v>
      </c>
      <c r="K550" s="87">
        <f>SUM(F550:J550)</f>
        <v>1193934.5299999998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6">SUM(F548:F550)</f>
        <v>2777119.85</v>
      </c>
      <c r="G551" s="89">
        <f t="shared" si="46"/>
        <v>693552.29</v>
      </c>
      <c r="H551" s="89">
        <f t="shared" si="46"/>
        <v>232724.02</v>
      </c>
      <c r="I551" s="89">
        <f t="shared" si="46"/>
        <v>179</v>
      </c>
      <c r="J551" s="89">
        <f t="shared" si="46"/>
        <v>135952.78</v>
      </c>
      <c r="K551" s="89">
        <f t="shared" si="46"/>
        <v>3839527.94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f>125812.89+2500</f>
        <v>128312.89</v>
      </c>
      <c r="G556" s="18">
        <f>9624.69+25462.17</f>
        <v>35086.86</v>
      </c>
      <c r="H556" s="18">
        <v>14716.72</v>
      </c>
      <c r="I556" s="18">
        <v>5964.25</v>
      </c>
      <c r="J556" s="18"/>
      <c r="K556" s="18">
        <v>5123.2</v>
      </c>
      <c r="L556" s="88">
        <f>SUM(F556:K556)</f>
        <v>189203.92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7">SUM(F556:F558)</f>
        <v>128312.89</v>
      </c>
      <c r="G559" s="108">
        <f t="shared" si="47"/>
        <v>35086.86</v>
      </c>
      <c r="H559" s="108">
        <f t="shared" si="47"/>
        <v>14716.72</v>
      </c>
      <c r="I559" s="108">
        <f t="shared" si="47"/>
        <v>5964.25</v>
      </c>
      <c r="J559" s="108">
        <f t="shared" si="47"/>
        <v>0</v>
      </c>
      <c r="K559" s="108">
        <f t="shared" si="47"/>
        <v>5123.2</v>
      </c>
      <c r="L559" s="89">
        <f t="shared" si="47"/>
        <v>189203.92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39105.440000000002</v>
      </c>
      <c r="G561" s="18">
        <v>8090.64</v>
      </c>
      <c r="H561" s="18"/>
      <c r="I561" s="18">
        <v>376.66</v>
      </c>
      <c r="J561" s="18"/>
      <c r="K561" s="18"/>
      <c r="L561" s="88">
        <f>SUM(F561:K561)</f>
        <v>47572.740000000005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>
        <v>15527.16</v>
      </c>
      <c r="G562" s="18">
        <v>3212.46</v>
      </c>
      <c r="H562" s="18"/>
      <c r="I562" s="18">
        <v>149.55000000000001</v>
      </c>
      <c r="J562" s="18"/>
      <c r="K562" s="18"/>
      <c r="L562" s="88">
        <f>SUM(F562:K562)</f>
        <v>18889.169999999998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>
        <v>2875.4</v>
      </c>
      <c r="G563" s="18">
        <v>594.9</v>
      </c>
      <c r="H563" s="18"/>
      <c r="I563" s="18">
        <v>27.7</v>
      </c>
      <c r="J563" s="18"/>
      <c r="K563" s="18"/>
      <c r="L563" s="88">
        <f>SUM(F563:K563)</f>
        <v>3498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8">SUM(F561:F563)</f>
        <v>57508.000000000007</v>
      </c>
      <c r="G564" s="89">
        <f t="shared" si="48"/>
        <v>11898</v>
      </c>
      <c r="H564" s="89">
        <f t="shared" si="48"/>
        <v>0</v>
      </c>
      <c r="I564" s="89">
        <f t="shared" si="48"/>
        <v>553.91000000000008</v>
      </c>
      <c r="J564" s="89">
        <f t="shared" si="48"/>
        <v>0</v>
      </c>
      <c r="K564" s="89">
        <f t="shared" si="48"/>
        <v>0</v>
      </c>
      <c r="L564" s="89">
        <f t="shared" si="48"/>
        <v>69959.91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9">SUM(G566:G568)</f>
        <v>0</v>
      </c>
      <c r="H569" s="194">
        <f t="shared" si="49"/>
        <v>0</v>
      </c>
      <c r="I569" s="194">
        <f t="shared" si="49"/>
        <v>0</v>
      </c>
      <c r="J569" s="194">
        <f t="shared" si="49"/>
        <v>0</v>
      </c>
      <c r="K569" s="194">
        <f t="shared" si="49"/>
        <v>0</v>
      </c>
      <c r="L569" s="194">
        <f t="shared" si="49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185820.89</v>
      </c>
      <c r="G570" s="89">
        <f t="shared" ref="G570:L570" si="50">G559+G564+G569</f>
        <v>46984.86</v>
      </c>
      <c r="H570" s="89">
        <f t="shared" si="50"/>
        <v>14716.72</v>
      </c>
      <c r="I570" s="89">
        <f t="shared" si="50"/>
        <v>6518.16</v>
      </c>
      <c r="J570" s="89">
        <f t="shared" si="50"/>
        <v>0</v>
      </c>
      <c r="K570" s="89">
        <f t="shared" si="50"/>
        <v>5123.2</v>
      </c>
      <c r="L570" s="89">
        <f t="shared" si="50"/>
        <v>259163.83000000002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1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1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1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f>32070</f>
        <v>32070</v>
      </c>
      <c r="I578" s="87">
        <f t="shared" si="51"/>
        <v>32070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>
        <v>51372.17</v>
      </c>
      <c r="I579" s="87">
        <f t="shared" si="51"/>
        <v>51372.17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1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5473.79</v>
      </c>
      <c r="G581" s="18">
        <v>90953.8</v>
      </c>
      <c r="H581" s="18">
        <v>86660.44</v>
      </c>
      <c r="I581" s="87">
        <f t="shared" si="51"/>
        <v>183088.03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1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f>H234</f>
        <v>74745</v>
      </c>
      <c r="I583" s="87">
        <f t="shared" si="51"/>
        <v>74745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51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1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1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123268.86+37005.6</f>
        <v>160274.46</v>
      </c>
      <c r="I590" s="18">
        <v>54918.09</v>
      </c>
      <c r="J590" s="18">
        <v>69191.86</v>
      </c>
      <c r="K590" s="104">
        <f t="shared" ref="K590:K596" si="52">SUM(H590:J590)</f>
        <v>284384.40999999997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J548</f>
        <v>67745.27</v>
      </c>
      <c r="I591" s="18">
        <f>J549</f>
        <v>30181.52</v>
      </c>
      <c r="J591" s="18">
        <f>J550</f>
        <v>38025.99</v>
      </c>
      <c r="K591" s="104">
        <f t="shared" si="52"/>
        <v>135952.78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46615</v>
      </c>
      <c r="K592" s="104">
        <f t="shared" si="52"/>
        <v>46615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7698.72</v>
      </c>
      <c r="J593" s="18">
        <v>26169.65</v>
      </c>
      <c r="K593" s="104">
        <f t="shared" si="52"/>
        <v>33868.370000000003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2143</v>
      </c>
      <c r="J594" s="18">
        <v>762.24</v>
      </c>
      <c r="K594" s="104">
        <f t="shared" si="52"/>
        <v>2905.24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52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52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228019.72999999998</v>
      </c>
      <c r="I597" s="108">
        <f>SUM(I590:I596)</f>
        <v>94941.33</v>
      </c>
      <c r="J597" s="108">
        <f>SUM(J590:J596)</f>
        <v>180764.74</v>
      </c>
      <c r="K597" s="108">
        <f>SUM(K590:K596)</f>
        <v>503725.79999999993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J210+J289</f>
        <v>188770.74000000005</v>
      </c>
      <c r="I603" s="18">
        <f>J228+J308</f>
        <v>72619.909999999989</v>
      </c>
      <c r="J603" s="18">
        <f>J246+J327</f>
        <v>98628.75</v>
      </c>
      <c r="K603" s="104">
        <f>SUM(H603:J603)</f>
        <v>360019.4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188770.74000000005</v>
      </c>
      <c r="I604" s="108">
        <f>SUM(I601:I603)</f>
        <v>72619.909999999989</v>
      </c>
      <c r="J604" s="108">
        <f>SUM(J601:J603)</f>
        <v>98628.75</v>
      </c>
      <c r="K604" s="108">
        <f>SUM(K601:K603)</f>
        <v>360019.4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f>6804.42+4968.17</f>
        <v>11772.59</v>
      </c>
      <c r="G611" s="18">
        <v>941.81</v>
      </c>
      <c r="H611" s="18"/>
      <c r="I611" s="18"/>
      <c r="J611" s="18"/>
      <c r="K611" s="18"/>
      <c r="L611" s="88">
        <f>SUM(F611:K611)</f>
        <v>12714.4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f>8759.17+6259.33</f>
        <v>15018.5</v>
      </c>
      <c r="G612" s="18">
        <v>1201.48</v>
      </c>
      <c r="H612" s="18"/>
      <c r="I612" s="18"/>
      <c r="J612" s="18"/>
      <c r="K612" s="18"/>
      <c r="L612" s="88">
        <f>SUM(F612:K612)</f>
        <v>16219.98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3">SUM(F610:F612)</f>
        <v>26791.09</v>
      </c>
      <c r="G613" s="108">
        <f t="shared" si="53"/>
        <v>2143.29</v>
      </c>
      <c r="H613" s="108">
        <f t="shared" si="53"/>
        <v>0</v>
      </c>
      <c r="I613" s="108">
        <f t="shared" si="53"/>
        <v>0</v>
      </c>
      <c r="J613" s="108">
        <f t="shared" si="53"/>
        <v>0</v>
      </c>
      <c r="K613" s="108">
        <f t="shared" si="53"/>
        <v>0</v>
      </c>
      <c r="L613" s="89">
        <f t="shared" si="53"/>
        <v>28934.379999999997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1309394.4500000002</v>
      </c>
      <c r="H616" s="109">
        <f>SUM(F51)</f>
        <v>1309394.4500000002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93749.61</v>
      </c>
      <c r="H617" s="109">
        <f>SUM(G51)</f>
        <v>93749.61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95474.38</v>
      </c>
      <c r="H618" s="109">
        <f>SUM(H51)</f>
        <v>95474.38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498391.82</v>
      </c>
      <c r="H621" s="109">
        <f>F475</f>
        <v>498391.81699999981</v>
      </c>
      <c r="I621" s="121" t="s">
        <v>101</v>
      </c>
      <c r="J621" s="109">
        <f t="shared" ref="J621:J654" si="54">G621-H621</f>
        <v>3.0000002007000148E-3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50894.25</v>
      </c>
      <c r="H622" s="109">
        <f>G475</f>
        <v>50894.25</v>
      </c>
      <c r="I622" s="121" t="s">
        <v>102</v>
      </c>
      <c r="J622" s="109">
        <f t="shared" si="54"/>
        <v>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2125.64</v>
      </c>
      <c r="H623" s="109">
        <f>H475</f>
        <v>2125.6400000001304</v>
      </c>
      <c r="I623" s="121" t="s">
        <v>103</v>
      </c>
      <c r="J623" s="109">
        <f t="shared" si="54"/>
        <v>-1.305124897044152E-10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4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4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15366053.540000001</v>
      </c>
      <c r="H626" s="104">
        <f>SUM(F467)</f>
        <v>15366053.540000001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367377.33999999997</v>
      </c>
      <c r="H627" s="104">
        <f>SUM(G467)</f>
        <v>367377.33999999997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537558.28</v>
      </c>
      <c r="H628" s="104">
        <f>SUM(H467)</f>
        <v>537558.28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15514215.433</v>
      </c>
      <c r="H631" s="104">
        <f>SUM(F471)</f>
        <v>15514215.433</v>
      </c>
      <c r="I631" s="140" t="s">
        <v>111</v>
      </c>
      <c r="J631" s="109">
        <f t="shared" si="54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538303.27999999991</v>
      </c>
      <c r="H632" s="104">
        <f>SUM(H471)</f>
        <v>538303.27999999991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183569.86</v>
      </c>
      <c r="H633" s="104">
        <f>I368</f>
        <v>183569.86000000002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348239.99999999994</v>
      </c>
      <c r="H634" s="104">
        <f>SUM(G471)</f>
        <v>348239.99999999994</v>
      </c>
      <c r="I634" s="140" t="s">
        <v>114</v>
      </c>
      <c r="J634" s="109">
        <f t="shared" si="54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4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4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4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4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4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4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4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4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4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4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4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503725.79999999993</v>
      </c>
      <c r="H646" s="104">
        <f>L207+L225+L243</f>
        <v>503725.8</v>
      </c>
      <c r="I646" s="140" t="s">
        <v>397</v>
      </c>
      <c r="J646" s="109">
        <f t="shared" si="54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360019.4</v>
      </c>
      <c r="H647" s="104">
        <f>(J256+J337)-(J254+J335)</f>
        <v>360019.4</v>
      </c>
      <c r="I647" s="140" t="s">
        <v>703</v>
      </c>
      <c r="J647" s="109">
        <f t="shared" si="54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228019.73</v>
      </c>
      <c r="H648" s="104">
        <f>H597</f>
        <v>228019.72999999998</v>
      </c>
      <c r="I648" s="140" t="s">
        <v>389</v>
      </c>
      <c r="J648" s="109">
        <f t="shared" si="54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94941.33</v>
      </c>
      <c r="H649" s="104">
        <f>I597</f>
        <v>94941.33</v>
      </c>
      <c r="I649" s="140" t="s">
        <v>390</v>
      </c>
      <c r="J649" s="109">
        <f t="shared" si="54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180764.74</v>
      </c>
      <c r="H650" s="104">
        <f>J597</f>
        <v>180764.74</v>
      </c>
      <c r="I650" s="140" t="s">
        <v>391</v>
      </c>
      <c r="J650" s="109">
        <f t="shared" si="54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4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4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4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4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2.9999986290931702E-3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7000872.8200000003</v>
      </c>
      <c r="G659" s="19">
        <f>(L228+L308+L358)</f>
        <v>3423067.7729999996</v>
      </c>
      <c r="H659" s="19">
        <f>(L246+L327+L359)</f>
        <v>4929361.2300000004</v>
      </c>
      <c r="I659" s="19">
        <f>SUM(F659:H659)</f>
        <v>15353301.823000001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70622.5721329566</v>
      </c>
      <c r="G660" s="19">
        <f>(L358/IF(SUM(L357:L359)=0,1,SUM(L357:L359))*(SUM(G96:G109)))</f>
        <v>65094.338002222605</v>
      </c>
      <c r="H660" s="19">
        <f>(L359/IF(SUM(L357:L359)=0,1,SUM(L357:L359))*(SUM(G96:G109)))</f>
        <v>80832.969864820814</v>
      </c>
      <c r="I660" s="19">
        <f>SUM(F660:H660)</f>
        <v>216549.88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228019.73</v>
      </c>
      <c r="G661" s="19">
        <f>(L225+L305)-(J225+J305)</f>
        <v>94941.33</v>
      </c>
      <c r="H661" s="19">
        <f>(L243+L324)-(J243+J324)</f>
        <v>180764.74</v>
      </c>
      <c r="I661" s="19">
        <f>SUM(F661:H661)</f>
        <v>503725.8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194244.53000000006</v>
      </c>
      <c r="G662" s="200">
        <f>SUM(G574:G586)+SUM(I601:I603)+L611</f>
        <v>176288.11</v>
      </c>
      <c r="H662" s="200">
        <f>SUM(H574:H586)+SUM(J601:J603)+L612</f>
        <v>359696.33999999997</v>
      </c>
      <c r="I662" s="19">
        <f>SUM(F662:H662)</f>
        <v>730228.98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6507985.9878670434</v>
      </c>
      <c r="G663" s="19">
        <f>G659-SUM(G660:G662)</f>
        <v>3086743.994997777</v>
      </c>
      <c r="H663" s="19">
        <f>H659-SUM(H660:H662)</f>
        <v>4308067.1801351793</v>
      </c>
      <c r="I663" s="19">
        <f>I659-SUM(I660:I662)</f>
        <v>13902797.163000001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480.19</v>
      </c>
      <c r="G664" s="249">
        <v>213.99</v>
      </c>
      <c r="H664" s="249">
        <v>270.60000000000002</v>
      </c>
      <c r="I664" s="19">
        <f>SUM(F664:H664)</f>
        <v>964.78000000000009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13552.94</v>
      </c>
      <c r="G666" s="19">
        <f>ROUND(G663/G664,2)</f>
        <v>14424.71</v>
      </c>
      <c r="H666" s="19">
        <f>ROUND(H663/H664,2)</f>
        <v>15920.43</v>
      </c>
      <c r="I666" s="19">
        <f>ROUND(I663/I664,2)</f>
        <v>14410.33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-19.2</v>
      </c>
      <c r="I669" s="19">
        <f>SUM(F669:H669)</f>
        <v>-19.2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13552.94</v>
      </c>
      <c r="G671" s="19">
        <f>ROUND((G663+G668)/(G664+G669),2)</f>
        <v>14424.71</v>
      </c>
      <c r="H671" s="19">
        <f>ROUND((H663+H668)/(H664+H669),2)</f>
        <v>17136.310000000001</v>
      </c>
      <c r="I671" s="19">
        <f>ROUND((I663+I668)/(I664+I669),2)</f>
        <v>14702.93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5" workbookViewId="0">
      <selection activeCell="B19" sqref="B1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Epping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3843948.08</v>
      </c>
      <c r="C9" s="230">
        <f>'DOE25'!G196+'DOE25'!G214+'DOE25'!G232+'DOE25'!G275+'DOE25'!G294+'DOE25'!G313</f>
        <v>1800147.5699999998</v>
      </c>
    </row>
    <row r="10" spans="1:3" x14ac:dyDescent="0.2">
      <c r="A10" t="s">
        <v>779</v>
      </c>
      <c r="B10" s="241">
        <f>1313710.49+184984+823660.23+1109236.36+98637.45</f>
        <v>3530228.5300000003</v>
      </c>
      <c r="C10" s="241">
        <v>1684141.17</v>
      </c>
    </row>
    <row r="11" spans="1:3" x14ac:dyDescent="0.2">
      <c r="A11" t="s">
        <v>780</v>
      </c>
      <c r="B11" s="241">
        <f>1626.99+81786.79+3527.76+120417.63</f>
        <v>207359.16999999998</v>
      </c>
      <c r="C11" s="241">
        <v>107498.37</v>
      </c>
    </row>
    <row r="12" spans="1:3" x14ac:dyDescent="0.2">
      <c r="A12" t="s">
        <v>781</v>
      </c>
      <c r="B12" s="241">
        <f>55859.21+16742.5+31891.17+1867.5</f>
        <v>106360.37999999999</v>
      </c>
      <c r="C12" s="241">
        <v>8508.0300000000007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3843948.08</v>
      </c>
      <c r="C13" s="232">
        <f>SUM(C10:C12)</f>
        <v>1800147.57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1651880.9100000001</v>
      </c>
      <c r="C18" s="230">
        <f>'DOE25'!G197+'DOE25'!G215+'DOE25'!G233+'DOE25'!G276+'DOE25'!G295+'DOE25'!G314</f>
        <v>675086.88</v>
      </c>
    </row>
    <row r="19" spans="1:3" x14ac:dyDescent="0.2">
      <c r="A19" t="s">
        <v>779</v>
      </c>
      <c r="B19" s="241">
        <f>52978.24+42027+73722.38+238371.57+154288.91+197710+124755.62+1712</f>
        <v>885565.72</v>
      </c>
      <c r="C19" s="241">
        <v>369535.85</v>
      </c>
    </row>
    <row r="20" spans="1:3" x14ac:dyDescent="0.2">
      <c r="A20" t="s">
        <v>780</v>
      </c>
      <c r="B20" s="241">
        <f>14604.39+323275.93+52684.73+195650.1+136199.58</f>
        <v>722414.73</v>
      </c>
      <c r="C20" s="241">
        <v>302038.99</v>
      </c>
    </row>
    <row r="21" spans="1:3" x14ac:dyDescent="0.2">
      <c r="A21" t="s">
        <v>781</v>
      </c>
      <c r="B21" s="241">
        <f>35+43865.46</f>
        <v>43900.46</v>
      </c>
      <c r="C21" s="241">
        <v>3512.04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1651880.91</v>
      </c>
      <c r="C22" s="232">
        <f>SUM(C19:C21)</f>
        <v>675086.88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 x14ac:dyDescent="0.2">
      <c r="A28" t="s">
        <v>779</v>
      </c>
      <c r="B28" s="241"/>
      <c r="C28" s="241"/>
    </row>
    <row r="29" spans="1:3" x14ac:dyDescent="0.2">
      <c r="A29" t="s">
        <v>780</v>
      </c>
      <c r="B29" s="241"/>
      <c r="C29" s="241"/>
    </row>
    <row r="30" spans="1:3" x14ac:dyDescent="0.2">
      <c r="A30" t="s">
        <v>781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204166</v>
      </c>
      <c r="C36" s="236">
        <f>'DOE25'!G199+'DOE25'!G217+'DOE25'!G235+'DOE25'!G278+'DOE25'!G297+'DOE25'!G316</f>
        <v>24865.39</v>
      </c>
    </row>
    <row r="37" spans="1:3" x14ac:dyDescent="0.2">
      <c r="A37" t="s">
        <v>779</v>
      </c>
      <c r="B37" s="241">
        <f>6804.42+5340+8759.17</f>
        <v>20903.59</v>
      </c>
      <c r="C37" s="241">
        <v>3961.23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204166-20903.59</f>
        <v>183262.41</v>
      </c>
      <c r="C39" s="241">
        <v>20904.16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204166</v>
      </c>
      <c r="C40" s="232">
        <f>SUM(C37:C39)</f>
        <v>24865.39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20" activePane="bottomLeft" state="frozen"/>
      <selection pane="bottomLeft" activeCell="B49" sqref="B49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Epping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8773389.4499999993</v>
      </c>
      <c r="D5" s="20">
        <f>SUM('DOE25'!L196:L199)+SUM('DOE25'!L214:L217)+SUM('DOE25'!L232:L235)-F5-G5</f>
        <v>8666169.5800000001</v>
      </c>
      <c r="E5" s="244"/>
      <c r="F5" s="256">
        <f>SUM('DOE25'!J196:J199)+SUM('DOE25'!J214:J217)+SUM('DOE25'!J232:J235)</f>
        <v>101263.83</v>
      </c>
      <c r="G5" s="53">
        <f>SUM('DOE25'!K196:K199)+SUM('DOE25'!K214:K217)+SUM('DOE25'!K232:K235)</f>
        <v>5956.04</v>
      </c>
      <c r="H5" s="260"/>
    </row>
    <row r="6" spans="1:9" x14ac:dyDescent="0.2">
      <c r="A6" s="32">
        <v>2100</v>
      </c>
      <c r="B6" t="s">
        <v>801</v>
      </c>
      <c r="C6" s="246">
        <f t="shared" si="0"/>
        <v>1229433.8430000001</v>
      </c>
      <c r="D6" s="20">
        <f>'DOE25'!L201+'DOE25'!L219+'DOE25'!L237-F6-G6</f>
        <v>1224521.4530000002</v>
      </c>
      <c r="E6" s="244"/>
      <c r="F6" s="256">
        <f>'DOE25'!J201+'DOE25'!J219+'DOE25'!J237</f>
        <v>4328.3900000000003</v>
      </c>
      <c r="G6" s="53">
        <f>'DOE25'!K201+'DOE25'!K219+'DOE25'!K237</f>
        <v>584</v>
      </c>
      <c r="H6" s="260"/>
    </row>
    <row r="7" spans="1:9" x14ac:dyDescent="0.2">
      <c r="A7" s="32">
        <v>2200</v>
      </c>
      <c r="B7" t="s">
        <v>834</v>
      </c>
      <c r="C7" s="246">
        <f t="shared" si="0"/>
        <v>871093.29</v>
      </c>
      <c r="D7" s="20">
        <f>'DOE25'!L202+'DOE25'!L220+'DOE25'!L238-F7-G7</f>
        <v>640694.4</v>
      </c>
      <c r="E7" s="244"/>
      <c r="F7" s="256">
        <f>'DOE25'!J202+'DOE25'!J220+'DOE25'!J238</f>
        <v>230138.89</v>
      </c>
      <c r="G7" s="53">
        <f>'DOE25'!K202+'DOE25'!K220+'DOE25'!K238</f>
        <v>260</v>
      </c>
      <c r="H7" s="260"/>
    </row>
    <row r="8" spans="1:9" x14ac:dyDescent="0.2">
      <c r="A8" s="32">
        <v>2300</v>
      </c>
      <c r="B8" t="s">
        <v>802</v>
      </c>
      <c r="C8" s="246">
        <f t="shared" si="0"/>
        <v>534098.04999999981</v>
      </c>
      <c r="D8" s="244"/>
      <c r="E8" s="20">
        <f>'DOE25'!L203+'DOE25'!L221+'DOE25'!L239-F8-G8-D9-D11</f>
        <v>518939.69999999984</v>
      </c>
      <c r="F8" s="256">
        <f>'DOE25'!J203+'DOE25'!J221+'DOE25'!J239</f>
        <v>0</v>
      </c>
      <c r="G8" s="53">
        <f>'DOE25'!K203+'DOE25'!K221+'DOE25'!K239</f>
        <v>15158.350000000002</v>
      </c>
      <c r="H8" s="260"/>
    </row>
    <row r="9" spans="1:9" x14ac:dyDescent="0.2">
      <c r="A9" s="32">
        <v>2310</v>
      </c>
      <c r="B9" t="s">
        <v>818</v>
      </c>
      <c r="C9" s="246">
        <f t="shared" si="0"/>
        <v>61635.01</v>
      </c>
      <c r="D9" s="245">
        <v>61635.01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12750</v>
      </c>
      <c r="D10" s="244"/>
      <c r="E10" s="245">
        <v>12750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151348</v>
      </c>
      <c r="D11" s="245">
        <f>109456+41392+500</f>
        <v>151348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887425.35000000009</v>
      </c>
      <c r="D12" s="20">
        <f>'DOE25'!L204+'DOE25'!L222+'DOE25'!L240-F12-G12</f>
        <v>869582.35000000009</v>
      </c>
      <c r="E12" s="244"/>
      <c r="F12" s="256">
        <f>'DOE25'!J204+'DOE25'!J222+'DOE25'!J240</f>
        <v>2191</v>
      </c>
      <c r="G12" s="53">
        <f>'DOE25'!K204+'DOE25'!K222+'DOE25'!K240</f>
        <v>15652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1468813.38</v>
      </c>
      <c r="D14" s="20">
        <f>'DOE25'!L206+'DOE25'!L224+'DOE25'!L242-F14-G14</f>
        <v>1457948.5999999999</v>
      </c>
      <c r="E14" s="244"/>
      <c r="F14" s="256">
        <f>'DOE25'!J206+'DOE25'!J224+'DOE25'!J242</f>
        <v>10864.779999999999</v>
      </c>
      <c r="G14" s="53">
        <f>'DOE25'!K206+'DOE25'!K224+'DOE25'!K242</f>
        <v>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503725.8</v>
      </c>
      <c r="D15" s="20">
        <f>'DOE25'!L207+'DOE25'!L225+'DOE25'!L243-F15-G15</f>
        <v>503725.8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122920</v>
      </c>
      <c r="D22" s="244"/>
      <c r="E22" s="244"/>
      <c r="F22" s="256">
        <f>'DOE25'!L254+'DOE25'!L335</f>
        <v>122920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910333.26</v>
      </c>
      <c r="D25" s="244"/>
      <c r="E25" s="244"/>
      <c r="F25" s="259"/>
      <c r="G25" s="257"/>
      <c r="H25" s="258">
        <f>'DOE25'!L259+'DOE25'!L260+'DOE25'!L340+'DOE25'!L341</f>
        <v>910333.26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173576.88999999993</v>
      </c>
      <c r="D29" s="20">
        <f>'DOE25'!L357+'DOE25'!L358+'DOE25'!L359-'DOE25'!I366-F29-G29</f>
        <v>166471.42999999993</v>
      </c>
      <c r="E29" s="244"/>
      <c r="F29" s="256">
        <f>'DOE25'!J357+'DOE25'!J358+'DOE25'!J359</f>
        <v>6158.4600000000009</v>
      </c>
      <c r="G29" s="53">
        <f>'DOE25'!K357+'DOE25'!K358+'DOE25'!K359</f>
        <v>947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524099.64999999997</v>
      </c>
      <c r="D31" s="20">
        <f>'DOE25'!L289+'DOE25'!L308+'DOE25'!L327+'DOE25'!L332+'DOE25'!L333+'DOE25'!L334-F31-G31</f>
        <v>509622.13999999996</v>
      </c>
      <c r="E31" s="244"/>
      <c r="F31" s="256">
        <f>'DOE25'!J289+'DOE25'!J308+'DOE25'!J327+'DOE25'!J332+'DOE25'!J333+'DOE25'!J334</f>
        <v>11232.51</v>
      </c>
      <c r="G31" s="53">
        <f>'DOE25'!K289+'DOE25'!K308+'DOE25'!K327+'DOE25'!K332+'DOE25'!K333+'DOE25'!K334</f>
        <v>3245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14251718.763</v>
      </c>
      <c r="E33" s="247">
        <f>SUM(E5:E31)</f>
        <v>531689.69999999984</v>
      </c>
      <c r="F33" s="247">
        <f>SUM(F5:F31)</f>
        <v>489097.86000000004</v>
      </c>
      <c r="G33" s="247">
        <f>SUM(G5:G31)</f>
        <v>41802.39</v>
      </c>
      <c r="H33" s="247">
        <f>SUM(H5:H31)</f>
        <v>910333.26</v>
      </c>
    </row>
    <row r="35" spans="2:8" ht="12" thickBot="1" x14ac:dyDescent="0.25">
      <c r="B35" s="254" t="s">
        <v>847</v>
      </c>
      <c r="D35" s="255">
        <f>E33</f>
        <v>531689.69999999984</v>
      </c>
      <c r="E35" s="250"/>
    </row>
    <row r="36" spans="2:8" ht="12" thickTop="1" x14ac:dyDescent="0.2">
      <c r="B36" t="s">
        <v>815</v>
      </c>
      <c r="D36" s="20">
        <f>D33</f>
        <v>14251718.763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Epping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1165266.6100000001</v>
      </c>
      <c r="D8" s="95">
        <f>'DOE25'!G9</f>
        <v>84565.440000000002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130564.22</v>
      </c>
      <c r="D11" s="95">
        <f>'DOE25'!G12</f>
        <v>9184.17</v>
      </c>
      <c r="E11" s="95">
        <f>'DOE25'!H12</f>
        <v>2125.64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12413.62</v>
      </c>
      <c r="D12" s="95">
        <f>'DOE25'!G13</f>
        <v>0</v>
      </c>
      <c r="E12" s="95">
        <f>'DOE25'!H13</f>
        <v>93348.74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300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850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1309394.4500000002</v>
      </c>
      <c r="D18" s="41">
        <f>SUM(D8:D17)</f>
        <v>93749.61</v>
      </c>
      <c r="E18" s="41">
        <f>SUM(E8:E17)</f>
        <v>95474.38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2125.64</v>
      </c>
      <c r="D21" s="95">
        <f>'DOE25'!G22</f>
        <v>40627.440000000002</v>
      </c>
      <c r="E21" s="95">
        <f>'DOE25'!H22</f>
        <v>89936.78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360464.68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448023.31000000006</v>
      </c>
      <c r="D27" s="95">
        <f>'DOE25'!G28</f>
        <v>2227.92</v>
      </c>
      <c r="E27" s="95">
        <f>'DOE25'!H28</f>
        <v>3411.96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811002.63000000012</v>
      </c>
      <c r="D31" s="41">
        <f>SUM(D21:D30)</f>
        <v>42855.360000000001</v>
      </c>
      <c r="E31" s="41">
        <f>SUM(E21:E30)</f>
        <v>93348.74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50894.25</v>
      </c>
      <c r="E46" s="95">
        <f>'DOE25'!H47</f>
        <v>2125.64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498391.82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498391.82</v>
      </c>
      <c r="D49" s="41">
        <f>SUM(D34:D48)</f>
        <v>50894.25</v>
      </c>
      <c r="E49" s="41">
        <f>SUM(E34:E48)</f>
        <v>2125.64</v>
      </c>
      <c r="F49" s="41">
        <f>SUM(F34:F48)</f>
        <v>0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1309394.4500000002</v>
      </c>
      <c r="D50" s="41">
        <f>D49+D31</f>
        <v>93749.61</v>
      </c>
      <c r="E50" s="41">
        <f>E49+E31</f>
        <v>95474.38</v>
      </c>
      <c r="F50" s="41">
        <f>F49+F31</f>
        <v>0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10104118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98709.3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1091.5</v>
      </c>
      <c r="D58" s="95">
        <f>'DOE25'!G95</f>
        <v>137.11000000000001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216549.88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140370.35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240171.15000000002</v>
      </c>
      <c r="D61" s="130">
        <f>SUM(D56:D60)</f>
        <v>216686.99</v>
      </c>
      <c r="E61" s="130">
        <f>SUM(E56:E60)</f>
        <v>0</v>
      </c>
      <c r="F61" s="130">
        <f>SUM(F56:F60)</f>
        <v>0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10344289.15</v>
      </c>
      <c r="D62" s="22">
        <f>D55+D61</f>
        <v>216686.99</v>
      </c>
      <c r="E62" s="22">
        <f>E55+E61</f>
        <v>0</v>
      </c>
      <c r="F62" s="22">
        <f>F55+F61</f>
        <v>0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3136087.79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1436032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2717.21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4574837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201874.6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38125.82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7854.34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13127.18</v>
      </c>
      <c r="D76" s="95">
        <f>SUM('DOE25'!G130:G134)</f>
        <v>4311.05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260981.94</v>
      </c>
      <c r="D77" s="130">
        <f>SUM(D71:D76)</f>
        <v>4311.05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4835818.9400000004</v>
      </c>
      <c r="D80" s="130">
        <f>SUM(D78:D79)+D77+D69</f>
        <v>4311.05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1510.16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171741.82</v>
      </c>
      <c r="D87" s="95">
        <f>SUM('DOE25'!G152:G160)</f>
        <v>127077.13</v>
      </c>
      <c r="E87" s="95">
        <f>SUM('DOE25'!H152:H160)</f>
        <v>536048.12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19302.169999999998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171741.82</v>
      </c>
      <c r="D90" s="131">
        <f>SUM(D84:D89)</f>
        <v>146379.29999999999</v>
      </c>
      <c r="E90" s="131">
        <f>SUM(E84:E89)</f>
        <v>537558.28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14203.63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14203.63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15366053.540000001</v>
      </c>
      <c r="D103" s="86">
        <f>D62+D80+D90+D102</f>
        <v>367377.33999999997</v>
      </c>
      <c r="E103" s="86">
        <f>E62+E80+E90+E102</f>
        <v>537558.28</v>
      </c>
      <c r="F103" s="86">
        <f>F62+F80+F90+F102</f>
        <v>0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5740410.2699999996</v>
      </c>
      <c r="D108" s="24" t="s">
        <v>289</v>
      </c>
      <c r="E108" s="95">
        <f>('DOE25'!L275)+('DOE25'!L294)+('DOE25'!L313)</f>
        <v>232703.74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2643928.38</v>
      </c>
      <c r="D109" s="24" t="s">
        <v>289</v>
      </c>
      <c r="E109" s="95">
        <f>('DOE25'!L276)+('DOE25'!L295)+('DOE25'!L314)</f>
        <v>133191.47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74745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314305.8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8773389.4499999993</v>
      </c>
      <c r="D114" s="86">
        <f>SUM(D108:D113)</f>
        <v>0</v>
      </c>
      <c r="E114" s="86">
        <f>SUM(E108:E113)</f>
        <v>365895.20999999996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1229433.8430000001</v>
      </c>
      <c r="D117" s="24" t="s">
        <v>289</v>
      </c>
      <c r="E117" s="95">
        <f>+('DOE25'!L280)+('DOE25'!L299)+('DOE25'!L318)</f>
        <v>21126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871093.29</v>
      </c>
      <c r="D118" s="24" t="s">
        <v>289</v>
      </c>
      <c r="E118" s="95">
        <f>+('DOE25'!L281)+('DOE25'!L300)+('DOE25'!L319)</f>
        <v>133685.23000000001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747081.05999999982</v>
      </c>
      <c r="D119" s="24" t="s">
        <v>289</v>
      </c>
      <c r="E119" s="95">
        <f>+('DOE25'!L282)+('DOE25'!L301)+('DOE25'!L320)</f>
        <v>1883.05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887425.35000000009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1468813.38</v>
      </c>
      <c r="D122" s="24" t="s">
        <v>289</v>
      </c>
      <c r="E122" s="95">
        <f>+('DOE25'!L285)+('DOE25'!L304)+('DOE25'!L323)</f>
        <v>1510.1599999999999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503725.8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348239.99999999994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5707572.7230000002</v>
      </c>
      <c r="D127" s="86">
        <f>SUM(D117:D126)</f>
        <v>348239.99999999994</v>
      </c>
      <c r="E127" s="86">
        <f>SUM(E117:E126)</f>
        <v>158204.44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122920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470000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440333.26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14203.63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1033253.26</v>
      </c>
      <c r="D143" s="141">
        <f>SUM(D129:D142)</f>
        <v>0</v>
      </c>
      <c r="E143" s="141">
        <f>SUM(E129:E142)</f>
        <v>14203.63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15514215.433</v>
      </c>
      <c r="D144" s="86">
        <f>(D114+D127+D143)</f>
        <v>348239.99999999994</v>
      </c>
      <c r="E144" s="86">
        <f>(E114+E127+E143)</f>
        <v>538303.27999999991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08/15/2005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08/15/2025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12072350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4.13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10040000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10040000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470000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470000</v>
      </c>
    </row>
    <row r="158" spans="1:9" x14ac:dyDescent="0.2">
      <c r="A158" s="22" t="s">
        <v>35</v>
      </c>
      <c r="B158" s="137">
        <f>'DOE25'!F497</f>
        <v>9570000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9570000</v>
      </c>
    </row>
    <row r="159" spans="1:9" x14ac:dyDescent="0.2">
      <c r="A159" s="22" t="s">
        <v>36</v>
      </c>
      <c r="B159" s="137">
        <f>'DOE25'!F498</f>
        <v>3308069.87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3308069.87</v>
      </c>
    </row>
    <row r="160" spans="1:9" x14ac:dyDescent="0.2">
      <c r="A160" s="22" t="s">
        <v>37</v>
      </c>
      <c r="B160" s="137">
        <f>'DOE25'!F499</f>
        <v>12878069.870000001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12878069.870000001</v>
      </c>
    </row>
    <row r="161" spans="1:7" x14ac:dyDescent="0.2">
      <c r="A161" s="22" t="s">
        <v>38</v>
      </c>
      <c r="B161" s="137">
        <f>'DOE25'!F500</f>
        <v>495000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495000</v>
      </c>
    </row>
    <row r="162" spans="1:7" x14ac:dyDescent="0.2">
      <c r="A162" s="22" t="s">
        <v>39</v>
      </c>
      <c r="B162" s="137">
        <f>'DOE25'!F501</f>
        <v>416213.26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416213.26</v>
      </c>
    </row>
    <row r="163" spans="1:7" x14ac:dyDescent="0.2">
      <c r="A163" s="22" t="s">
        <v>246</v>
      </c>
      <c r="B163" s="137">
        <f>'DOE25'!F502</f>
        <v>911213.26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911213.26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9" workbookViewId="0">
      <selection activeCell="C10" sqref="C10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Epping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13553</v>
      </c>
    </row>
    <row r="5" spans="1:4" x14ac:dyDescent="0.2">
      <c r="B5" t="s">
        <v>704</v>
      </c>
      <c r="C5" s="179">
        <f>IF('DOE25'!G664+'DOE25'!G669=0,0,ROUND('DOE25'!G671,0))</f>
        <v>14425</v>
      </c>
    </row>
    <row r="6" spans="1:4" x14ac:dyDescent="0.2">
      <c r="B6" t="s">
        <v>62</v>
      </c>
      <c r="C6" s="179">
        <f>IF('DOE25'!H664+'DOE25'!H669=0,0,ROUND('DOE25'!H671,0))</f>
        <v>17136</v>
      </c>
    </row>
    <row r="7" spans="1:4" x14ac:dyDescent="0.2">
      <c r="B7" t="s">
        <v>705</v>
      </c>
      <c r="C7" s="179">
        <f>IF('DOE25'!I664+'DOE25'!I669=0,0,ROUND('DOE25'!I671,0))</f>
        <v>14703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5973114</v>
      </c>
      <c r="D10" s="182">
        <f>ROUND((C10/$C$28)*100,1)</f>
        <v>38.299999999999997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2777120</v>
      </c>
      <c r="D11" s="182">
        <f>ROUND((C11/$C$28)*100,1)</f>
        <v>17.8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74745</v>
      </c>
      <c r="D12" s="182">
        <f>ROUND((C12/$C$28)*100,1)</f>
        <v>0.5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314306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1250560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1004779</v>
      </c>
      <c r="D16" s="182">
        <f t="shared" si="0"/>
        <v>6.5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748964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887425</v>
      </c>
      <c r="D18" s="182">
        <f t="shared" si="0"/>
        <v>5.7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1470324</v>
      </c>
      <c r="D20" s="182">
        <f t="shared" si="0"/>
        <v>9.4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503726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440333</v>
      </c>
      <c r="D25" s="182">
        <f t="shared" si="0"/>
        <v>2.8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131690.12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15577086.119999999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122920</v>
      </c>
    </row>
    <row r="30" spans="1:4" x14ac:dyDescent="0.2">
      <c r="B30" s="187" t="s">
        <v>729</v>
      </c>
      <c r="C30" s="180">
        <f>SUM(C28:C29)</f>
        <v>15700006.119999999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470000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10104118</v>
      </c>
      <c r="D35" s="182">
        <f t="shared" ref="D35:D40" si="1">ROUND((C35/$C$41)*100,1)</f>
        <v>63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240308.25999999978</v>
      </c>
      <c r="D36" s="182">
        <f t="shared" si="1"/>
        <v>1.5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4574837</v>
      </c>
      <c r="D37" s="182">
        <f t="shared" si="1"/>
        <v>28.5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265293</v>
      </c>
      <c r="D38" s="182">
        <f t="shared" si="1"/>
        <v>1.7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855679</v>
      </c>
      <c r="D39" s="182">
        <f t="shared" si="1"/>
        <v>5.3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16040235.26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6" t="s">
        <v>767</v>
      </c>
      <c r="B2" s="297"/>
      <c r="C2" s="297"/>
      <c r="D2" s="297"/>
      <c r="E2" s="297"/>
      <c r="F2" s="290" t="str">
        <f>'DOE25'!A2</f>
        <v>Epping SD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8"/>
      <c r="AB29" s="208"/>
      <c r="AC29" s="293"/>
      <c r="AD29" s="293"/>
      <c r="AE29" s="293"/>
      <c r="AF29" s="293"/>
      <c r="AG29" s="293"/>
      <c r="AH29" s="293"/>
      <c r="AI29" s="293"/>
      <c r="AJ29" s="293"/>
      <c r="AK29" s="293"/>
      <c r="AL29" s="293"/>
      <c r="AM29" s="293"/>
      <c r="AN29" s="208"/>
      <c r="AO29" s="208"/>
      <c r="AP29" s="293"/>
      <c r="AQ29" s="293"/>
      <c r="AR29" s="293"/>
      <c r="AS29" s="293"/>
      <c r="AT29" s="293"/>
      <c r="AU29" s="293"/>
      <c r="AV29" s="293"/>
      <c r="AW29" s="293"/>
      <c r="AX29" s="293"/>
      <c r="AY29" s="293"/>
      <c r="AZ29" s="293"/>
      <c r="BA29" s="208"/>
      <c r="BB29" s="208"/>
      <c r="BC29" s="293"/>
      <c r="BD29" s="293"/>
      <c r="BE29" s="293"/>
      <c r="BF29" s="293"/>
      <c r="BG29" s="293"/>
      <c r="BH29" s="293"/>
      <c r="BI29" s="293"/>
      <c r="BJ29" s="293"/>
      <c r="BK29" s="293"/>
      <c r="BL29" s="293"/>
      <c r="BM29" s="293"/>
      <c r="BN29" s="208"/>
      <c r="BO29" s="208"/>
      <c r="BP29" s="293"/>
      <c r="BQ29" s="293"/>
      <c r="BR29" s="293"/>
      <c r="BS29" s="293"/>
      <c r="BT29" s="293"/>
      <c r="BU29" s="293"/>
      <c r="BV29" s="293"/>
      <c r="BW29" s="293"/>
      <c r="BX29" s="293"/>
      <c r="BY29" s="293"/>
      <c r="BZ29" s="293"/>
      <c r="CA29" s="208"/>
      <c r="CB29" s="208"/>
      <c r="CC29" s="293"/>
      <c r="CD29" s="293"/>
      <c r="CE29" s="293"/>
      <c r="CF29" s="293"/>
      <c r="CG29" s="293"/>
      <c r="CH29" s="293"/>
      <c r="CI29" s="293"/>
      <c r="CJ29" s="293"/>
      <c r="CK29" s="293"/>
      <c r="CL29" s="293"/>
      <c r="CM29" s="293"/>
      <c r="CN29" s="208"/>
      <c r="CO29" s="208"/>
      <c r="CP29" s="293"/>
      <c r="CQ29" s="293"/>
      <c r="CR29" s="293"/>
      <c r="CS29" s="293"/>
      <c r="CT29" s="293"/>
      <c r="CU29" s="293"/>
      <c r="CV29" s="293"/>
      <c r="CW29" s="293"/>
      <c r="CX29" s="293"/>
      <c r="CY29" s="293"/>
      <c r="CZ29" s="293"/>
      <c r="DA29" s="208"/>
      <c r="DB29" s="208"/>
      <c r="DC29" s="293"/>
      <c r="DD29" s="293"/>
      <c r="DE29" s="293"/>
      <c r="DF29" s="293"/>
      <c r="DG29" s="293"/>
      <c r="DH29" s="293"/>
      <c r="DI29" s="293"/>
      <c r="DJ29" s="293"/>
      <c r="DK29" s="293"/>
      <c r="DL29" s="293"/>
      <c r="DM29" s="293"/>
      <c r="DN29" s="208"/>
      <c r="DO29" s="208"/>
      <c r="DP29" s="293"/>
      <c r="DQ29" s="293"/>
      <c r="DR29" s="293"/>
      <c r="DS29" s="293"/>
      <c r="DT29" s="293"/>
      <c r="DU29" s="293"/>
      <c r="DV29" s="293"/>
      <c r="DW29" s="293"/>
      <c r="DX29" s="293"/>
      <c r="DY29" s="293"/>
      <c r="DZ29" s="293"/>
      <c r="EA29" s="208"/>
      <c r="EB29" s="208"/>
      <c r="EC29" s="293"/>
      <c r="ED29" s="293"/>
      <c r="EE29" s="293"/>
      <c r="EF29" s="293"/>
      <c r="EG29" s="293"/>
      <c r="EH29" s="293"/>
      <c r="EI29" s="293"/>
      <c r="EJ29" s="293"/>
      <c r="EK29" s="293"/>
      <c r="EL29" s="293"/>
      <c r="EM29" s="293"/>
      <c r="EN29" s="208"/>
      <c r="EO29" s="208"/>
      <c r="EP29" s="293"/>
      <c r="EQ29" s="293"/>
      <c r="ER29" s="293"/>
      <c r="ES29" s="293"/>
      <c r="ET29" s="293"/>
      <c r="EU29" s="293"/>
      <c r="EV29" s="293"/>
      <c r="EW29" s="293"/>
      <c r="EX29" s="293"/>
      <c r="EY29" s="293"/>
      <c r="EZ29" s="293"/>
      <c r="FA29" s="208"/>
      <c r="FB29" s="208"/>
      <c r="FC29" s="293"/>
      <c r="FD29" s="293"/>
      <c r="FE29" s="293"/>
      <c r="FF29" s="293"/>
      <c r="FG29" s="293"/>
      <c r="FH29" s="293"/>
      <c r="FI29" s="293"/>
      <c r="FJ29" s="293"/>
      <c r="FK29" s="293"/>
      <c r="FL29" s="293"/>
      <c r="FM29" s="293"/>
      <c r="FN29" s="208"/>
      <c r="FO29" s="208"/>
      <c r="FP29" s="293"/>
      <c r="FQ29" s="293"/>
      <c r="FR29" s="293"/>
      <c r="FS29" s="293"/>
      <c r="FT29" s="293"/>
      <c r="FU29" s="293"/>
      <c r="FV29" s="293"/>
      <c r="FW29" s="293"/>
      <c r="FX29" s="293"/>
      <c r="FY29" s="293"/>
      <c r="FZ29" s="293"/>
      <c r="GA29" s="208"/>
      <c r="GB29" s="208"/>
      <c r="GC29" s="293"/>
      <c r="GD29" s="293"/>
      <c r="GE29" s="293"/>
      <c r="GF29" s="293"/>
      <c r="GG29" s="293"/>
      <c r="GH29" s="293"/>
      <c r="GI29" s="293"/>
      <c r="GJ29" s="293"/>
      <c r="GK29" s="293"/>
      <c r="GL29" s="293"/>
      <c r="GM29" s="293"/>
      <c r="GN29" s="208"/>
      <c r="GO29" s="208"/>
      <c r="GP29" s="293"/>
      <c r="GQ29" s="293"/>
      <c r="GR29" s="293"/>
      <c r="GS29" s="293"/>
      <c r="GT29" s="293"/>
      <c r="GU29" s="293"/>
      <c r="GV29" s="293"/>
      <c r="GW29" s="293"/>
      <c r="GX29" s="293"/>
      <c r="GY29" s="293"/>
      <c r="GZ29" s="293"/>
      <c r="HA29" s="208"/>
      <c r="HB29" s="208"/>
      <c r="HC29" s="293"/>
      <c r="HD29" s="293"/>
      <c r="HE29" s="293"/>
      <c r="HF29" s="293"/>
      <c r="HG29" s="293"/>
      <c r="HH29" s="293"/>
      <c r="HI29" s="293"/>
      <c r="HJ29" s="293"/>
      <c r="HK29" s="293"/>
      <c r="HL29" s="293"/>
      <c r="HM29" s="293"/>
      <c r="HN29" s="208"/>
      <c r="HO29" s="208"/>
      <c r="HP29" s="293"/>
      <c r="HQ29" s="293"/>
      <c r="HR29" s="293"/>
      <c r="HS29" s="293"/>
      <c r="HT29" s="293"/>
      <c r="HU29" s="293"/>
      <c r="HV29" s="293"/>
      <c r="HW29" s="293"/>
      <c r="HX29" s="293"/>
      <c r="HY29" s="293"/>
      <c r="HZ29" s="293"/>
      <c r="IA29" s="208"/>
      <c r="IB29" s="208"/>
      <c r="IC29" s="293"/>
      <c r="ID29" s="293"/>
      <c r="IE29" s="293"/>
      <c r="IF29" s="293"/>
      <c r="IG29" s="293"/>
      <c r="IH29" s="293"/>
      <c r="II29" s="293"/>
      <c r="IJ29" s="293"/>
      <c r="IK29" s="293"/>
      <c r="IL29" s="293"/>
      <c r="IM29" s="293"/>
      <c r="IN29" s="208"/>
      <c r="IO29" s="208"/>
      <c r="IP29" s="293"/>
      <c r="IQ29" s="293"/>
      <c r="IR29" s="293"/>
      <c r="IS29" s="293"/>
      <c r="IT29" s="293"/>
      <c r="IU29" s="293"/>
      <c r="IV29" s="293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8"/>
      <c r="AB30" s="208"/>
      <c r="AC30" s="293"/>
      <c r="AD30" s="293"/>
      <c r="AE30" s="293"/>
      <c r="AF30" s="293"/>
      <c r="AG30" s="293"/>
      <c r="AH30" s="293"/>
      <c r="AI30" s="293"/>
      <c r="AJ30" s="293"/>
      <c r="AK30" s="293"/>
      <c r="AL30" s="293"/>
      <c r="AM30" s="293"/>
      <c r="AN30" s="208"/>
      <c r="AO30" s="208"/>
      <c r="AP30" s="293"/>
      <c r="AQ30" s="293"/>
      <c r="AR30" s="293"/>
      <c r="AS30" s="293"/>
      <c r="AT30" s="293"/>
      <c r="AU30" s="293"/>
      <c r="AV30" s="293"/>
      <c r="AW30" s="293"/>
      <c r="AX30" s="293"/>
      <c r="AY30" s="293"/>
      <c r="AZ30" s="293"/>
      <c r="BA30" s="208"/>
      <c r="BB30" s="208"/>
      <c r="BC30" s="293"/>
      <c r="BD30" s="293"/>
      <c r="BE30" s="293"/>
      <c r="BF30" s="293"/>
      <c r="BG30" s="293"/>
      <c r="BH30" s="293"/>
      <c r="BI30" s="293"/>
      <c r="BJ30" s="293"/>
      <c r="BK30" s="293"/>
      <c r="BL30" s="293"/>
      <c r="BM30" s="293"/>
      <c r="BN30" s="208"/>
      <c r="BO30" s="208"/>
      <c r="BP30" s="293"/>
      <c r="BQ30" s="293"/>
      <c r="BR30" s="293"/>
      <c r="BS30" s="293"/>
      <c r="BT30" s="293"/>
      <c r="BU30" s="293"/>
      <c r="BV30" s="293"/>
      <c r="BW30" s="293"/>
      <c r="BX30" s="293"/>
      <c r="BY30" s="293"/>
      <c r="BZ30" s="293"/>
      <c r="CA30" s="208"/>
      <c r="CB30" s="208"/>
      <c r="CC30" s="293"/>
      <c r="CD30" s="293"/>
      <c r="CE30" s="293"/>
      <c r="CF30" s="293"/>
      <c r="CG30" s="293"/>
      <c r="CH30" s="293"/>
      <c r="CI30" s="293"/>
      <c r="CJ30" s="293"/>
      <c r="CK30" s="293"/>
      <c r="CL30" s="293"/>
      <c r="CM30" s="293"/>
      <c r="CN30" s="208"/>
      <c r="CO30" s="208"/>
      <c r="CP30" s="293"/>
      <c r="CQ30" s="293"/>
      <c r="CR30" s="293"/>
      <c r="CS30" s="293"/>
      <c r="CT30" s="293"/>
      <c r="CU30" s="293"/>
      <c r="CV30" s="293"/>
      <c r="CW30" s="293"/>
      <c r="CX30" s="293"/>
      <c r="CY30" s="293"/>
      <c r="CZ30" s="293"/>
      <c r="DA30" s="208"/>
      <c r="DB30" s="208"/>
      <c r="DC30" s="293"/>
      <c r="DD30" s="293"/>
      <c r="DE30" s="293"/>
      <c r="DF30" s="293"/>
      <c r="DG30" s="293"/>
      <c r="DH30" s="293"/>
      <c r="DI30" s="293"/>
      <c r="DJ30" s="293"/>
      <c r="DK30" s="293"/>
      <c r="DL30" s="293"/>
      <c r="DM30" s="293"/>
      <c r="DN30" s="208"/>
      <c r="DO30" s="208"/>
      <c r="DP30" s="293"/>
      <c r="DQ30" s="293"/>
      <c r="DR30" s="293"/>
      <c r="DS30" s="293"/>
      <c r="DT30" s="293"/>
      <c r="DU30" s="293"/>
      <c r="DV30" s="293"/>
      <c r="DW30" s="293"/>
      <c r="DX30" s="293"/>
      <c r="DY30" s="293"/>
      <c r="DZ30" s="293"/>
      <c r="EA30" s="208"/>
      <c r="EB30" s="208"/>
      <c r="EC30" s="293"/>
      <c r="ED30" s="293"/>
      <c r="EE30" s="293"/>
      <c r="EF30" s="293"/>
      <c r="EG30" s="293"/>
      <c r="EH30" s="293"/>
      <c r="EI30" s="293"/>
      <c r="EJ30" s="293"/>
      <c r="EK30" s="293"/>
      <c r="EL30" s="293"/>
      <c r="EM30" s="293"/>
      <c r="EN30" s="208"/>
      <c r="EO30" s="208"/>
      <c r="EP30" s="293"/>
      <c r="EQ30" s="293"/>
      <c r="ER30" s="293"/>
      <c r="ES30" s="293"/>
      <c r="ET30" s="293"/>
      <c r="EU30" s="293"/>
      <c r="EV30" s="293"/>
      <c r="EW30" s="293"/>
      <c r="EX30" s="293"/>
      <c r="EY30" s="293"/>
      <c r="EZ30" s="293"/>
      <c r="FA30" s="208"/>
      <c r="FB30" s="208"/>
      <c r="FC30" s="293"/>
      <c r="FD30" s="293"/>
      <c r="FE30" s="293"/>
      <c r="FF30" s="293"/>
      <c r="FG30" s="293"/>
      <c r="FH30" s="293"/>
      <c r="FI30" s="293"/>
      <c r="FJ30" s="293"/>
      <c r="FK30" s="293"/>
      <c r="FL30" s="293"/>
      <c r="FM30" s="293"/>
      <c r="FN30" s="208"/>
      <c r="FO30" s="208"/>
      <c r="FP30" s="293"/>
      <c r="FQ30" s="293"/>
      <c r="FR30" s="293"/>
      <c r="FS30" s="293"/>
      <c r="FT30" s="293"/>
      <c r="FU30" s="293"/>
      <c r="FV30" s="293"/>
      <c r="FW30" s="293"/>
      <c r="FX30" s="293"/>
      <c r="FY30" s="293"/>
      <c r="FZ30" s="293"/>
      <c r="GA30" s="208"/>
      <c r="GB30" s="208"/>
      <c r="GC30" s="293"/>
      <c r="GD30" s="293"/>
      <c r="GE30" s="293"/>
      <c r="GF30" s="293"/>
      <c r="GG30" s="293"/>
      <c r="GH30" s="293"/>
      <c r="GI30" s="293"/>
      <c r="GJ30" s="293"/>
      <c r="GK30" s="293"/>
      <c r="GL30" s="293"/>
      <c r="GM30" s="293"/>
      <c r="GN30" s="208"/>
      <c r="GO30" s="208"/>
      <c r="GP30" s="293"/>
      <c r="GQ30" s="293"/>
      <c r="GR30" s="293"/>
      <c r="GS30" s="293"/>
      <c r="GT30" s="293"/>
      <c r="GU30" s="293"/>
      <c r="GV30" s="293"/>
      <c r="GW30" s="293"/>
      <c r="GX30" s="293"/>
      <c r="GY30" s="293"/>
      <c r="GZ30" s="293"/>
      <c r="HA30" s="208"/>
      <c r="HB30" s="208"/>
      <c r="HC30" s="293"/>
      <c r="HD30" s="293"/>
      <c r="HE30" s="293"/>
      <c r="HF30" s="293"/>
      <c r="HG30" s="293"/>
      <c r="HH30" s="293"/>
      <c r="HI30" s="293"/>
      <c r="HJ30" s="293"/>
      <c r="HK30" s="293"/>
      <c r="HL30" s="293"/>
      <c r="HM30" s="293"/>
      <c r="HN30" s="208"/>
      <c r="HO30" s="208"/>
      <c r="HP30" s="293"/>
      <c r="HQ30" s="293"/>
      <c r="HR30" s="293"/>
      <c r="HS30" s="293"/>
      <c r="HT30" s="293"/>
      <c r="HU30" s="293"/>
      <c r="HV30" s="293"/>
      <c r="HW30" s="293"/>
      <c r="HX30" s="293"/>
      <c r="HY30" s="293"/>
      <c r="HZ30" s="293"/>
      <c r="IA30" s="208"/>
      <c r="IB30" s="208"/>
      <c r="IC30" s="293"/>
      <c r="ID30" s="293"/>
      <c r="IE30" s="293"/>
      <c r="IF30" s="293"/>
      <c r="IG30" s="293"/>
      <c r="IH30" s="293"/>
      <c r="II30" s="293"/>
      <c r="IJ30" s="293"/>
      <c r="IK30" s="293"/>
      <c r="IL30" s="293"/>
      <c r="IM30" s="293"/>
      <c r="IN30" s="208"/>
      <c r="IO30" s="208"/>
      <c r="IP30" s="293"/>
      <c r="IQ30" s="293"/>
      <c r="IR30" s="293"/>
      <c r="IS30" s="293"/>
      <c r="IT30" s="293"/>
      <c r="IU30" s="293"/>
      <c r="IV30" s="293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8"/>
      <c r="AB31" s="208"/>
      <c r="AC31" s="293"/>
      <c r="AD31" s="293"/>
      <c r="AE31" s="293"/>
      <c r="AF31" s="293"/>
      <c r="AG31" s="293"/>
      <c r="AH31" s="293"/>
      <c r="AI31" s="293"/>
      <c r="AJ31" s="293"/>
      <c r="AK31" s="293"/>
      <c r="AL31" s="293"/>
      <c r="AM31" s="293"/>
      <c r="AN31" s="208"/>
      <c r="AO31" s="208"/>
      <c r="AP31" s="293"/>
      <c r="AQ31" s="293"/>
      <c r="AR31" s="293"/>
      <c r="AS31" s="293"/>
      <c r="AT31" s="293"/>
      <c r="AU31" s="293"/>
      <c r="AV31" s="293"/>
      <c r="AW31" s="293"/>
      <c r="AX31" s="293"/>
      <c r="AY31" s="293"/>
      <c r="AZ31" s="293"/>
      <c r="BA31" s="208"/>
      <c r="BB31" s="208"/>
      <c r="BC31" s="293"/>
      <c r="BD31" s="293"/>
      <c r="BE31" s="293"/>
      <c r="BF31" s="293"/>
      <c r="BG31" s="293"/>
      <c r="BH31" s="293"/>
      <c r="BI31" s="293"/>
      <c r="BJ31" s="293"/>
      <c r="BK31" s="293"/>
      <c r="BL31" s="293"/>
      <c r="BM31" s="293"/>
      <c r="BN31" s="208"/>
      <c r="BO31" s="208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/>
      <c r="CA31" s="208"/>
      <c r="CB31" s="208"/>
      <c r="CC31" s="293"/>
      <c r="CD31" s="293"/>
      <c r="CE31" s="293"/>
      <c r="CF31" s="293"/>
      <c r="CG31" s="293"/>
      <c r="CH31" s="293"/>
      <c r="CI31" s="293"/>
      <c r="CJ31" s="293"/>
      <c r="CK31" s="293"/>
      <c r="CL31" s="293"/>
      <c r="CM31" s="293"/>
      <c r="CN31" s="208"/>
      <c r="CO31" s="208"/>
      <c r="CP31" s="293"/>
      <c r="CQ31" s="293"/>
      <c r="CR31" s="293"/>
      <c r="CS31" s="293"/>
      <c r="CT31" s="293"/>
      <c r="CU31" s="293"/>
      <c r="CV31" s="293"/>
      <c r="CW31" s="293"/>
      <c r="CX31" s="293"/>
      <c r="CY31" s="293"/>
      <c r="CZ31" s="293"/>
      <c r="DA31" s="208"/>
      <c r="DB31" s="208"/>
      <c r="DC31" s="293"/>
      <c r="DD31" s="293"/>
      <c r="DE31" s="293"/>
      <c r="DF31" s="293"/>
      <c r="DG31" s="293"/>
      <c r="DH31" s="293"/>
      <c r="DI31" s="293"/>
      <c r="DJ31" s="293"/>
      <c r="DK31" s="293"/>
      <c r="DL31" s="293"/>
      <c r="DM31" s="293"/>
      <c r="DN31" s="208"/>
      <c r="DO31" s="208"/>
      <c r="DP31" s="293"/>
      <c r="DQ31" s="293"/>
      <c r="DR31" s="293"/>
      <c r="DS31" s="293"/>
      <c r="DT31" s="293"/>
      <c r="DU31" s="293"/>
      <c r="DV31" s="293"/>
      <c r="DW31" s="293"/>
      <c r="DX31" s="293"/>
      <c r="DY31" s="293"/>
      <c r="DZ31" s="293"/>
      <c r="EA31" s="208"/>
      <c r="EB31" s="208"/>
      <c r="EC31" s="293"/>
      <c r="ED31" s="293"/>
      <c r="EE31" s="293"/>
      <c r="EF31" s="293"/>
      <c r="EG31" s="293"/>
      <c r="EH31" s="293"/>
      <c r="EI31" s="293"/>
      <c r="EJ31" s="293"/>
      <c r="EK31" s="293"/>
      <c r="EL31" s="293"/>
      <c r="EM31" s="293"/>
      <c r="EN31" s="208"/>
      <c r="EO31" s="208"/>
      <c r="EP31" s="293"/>
      <c r="EQ31" s="293"/>
      <c r="ER31" s="293"/>
      <c r="ES31" s="293"/>
      <c r="ET31" s="293"/>
      <c r="EU31" s="293"/>
      <c r="EV31" s="293"/>
      <c r="EW31" s="293"/>
      <c r="EX31" s="293"/>
      <c r="EY31" s="293"/>
      <c r="EZ31" s="293"/>
      <c r="FA31" s="208"/>
      <c r="FB31" s="208"/>
      <c r="FC31" s="293"/>
      <c r="FD31" s="293"/>
      <c r="FE31" s="293"/>
      <c r="FF31" s="293"/>
      <c r="FG31" s="293"/>
      <c r="FH31" s="293"/>
      <c r="FI31" s="293"/>
      <c r="FJ31" s="293"/>
      <c r="FK31" s="293"/>
      <c r="FL31" s="293"/>
      <c r="FM31" s="293"/>
      <c r="FN31" s="208"/>
      <c r="FO31" s="208"/>
      <c r="FP31" s="293"/>
      <c r="FQ31" s="293"/>
      <c r="FR31" s="293"/>
      <c r="FS31" s="293"/>
      <c r="FT31" s="293"/>
      <c r="FU31" s="293"/>
      <c r="FV31" s="293"/>
      <c r="FW31" s="293"/>
      <c r="FX31" s="293"/>
      <c r="FY31" s="293"/>
      <c r="FZ31" s="293"/>
      <c r="GA31" s="208"/>
      <c r="GB31" s="208"/>
      <c r="GC31" s="293"/>
      <c r="GD31" s="293"/>
      <c r="GE31" s="293"/>
      <c r="GF31" s="293"/>
      <c r="GG31" s="293"/>
      <c r="GH31" s="293"/>
      <c r="GI31" s="293"/>
      <c r="GJ31" s="293"/>
      <c r="GK31" s="293"/>
      <c r="GL31" s="293"/>
      <c r="GM31" s="293"/>
      <c r="GN31" s="208"/>
      <c r="GO31" s="208"/>
      <c r="GP31" s="293"/>
      <c r="GQ31" s="293"/>
      <c r="GR31" s="293"/>
      <c r="GS31" s="293"/>
      <c r="GT31" s="293"/>
      <c r="GU31" s="293"/>
      <c r="GV31" s="293"/>
      <c r="GW31" s="293"/>
      <c r="GX31" s="293"/>
      <c r="GY31" s="293"/>
      <c r="GZ31" s="293"/>
      <c r="HA31" s="208"/>
      <c r="HB31" s="208"/>
      <c r="HC31" s="293"/>
      <c r="HD31" s="293"/>
      <c r="HE31" s="293"/>
      <c r="HF31" s="293"/>
      <c r="HG31" s="293"/>
      <c r="HH31" s="293"/>
      <c r="HI31" s="293"/>
      <c r="HJ31" s="293"/>
      <c r="HK31" s="293"/>
      <c r="HL31" s="293"/>
      <c r="HM31" s="293"/>
      <c r="HN31" s="208"/>
      <c r="HO31" s="208"/>
      <c r="HP31" s="293"/>
      <c r="HQ31" s="293"/>
      <c r="HR31" s="293"/>
      <c r="HS31" s="293"/>
      <c r="HT31" s="293"/>
      <c r="HU31" s="293"/>
      <c r="HV31" s="293"/>
      <c r="HW31" s="293"/>
      <c r="HX31" s="293"/>
      <c r="HY31" s="293"/>
      <c r="HZ31" s="293"/>
      <c r="IA31" s="208"/>
      <c r="IB31" s="208"/>
      <c r="IC31" s="293"/>
      <c r="ID31" s="293"/>
      <c r="IE31" s="293"/>
      <c r="IF31" s="293"/>
      <c r="IG31" s="293"/>
      <c r="IH31" s="293"/>
      <c r="II31" s="293"/>
      <c r="IJ31" s="293"/>
      <c r="IK31" s="293"/>
      <c r="IL31" s="293"/>
      <c r="IM31" s="293"/>
      <c r="IN31" s="208"/>
      <c r="IO31" s="208"/>
      <c r="IP31" s="293"/>
      <c r="IQ31" s="293"/>
      <c r="IR31" s="293"/>
      <c r="IS31" s="293"/>
      <c r="IT31" s="293"/>
      <c r="IU31" s="293"/>
      <c r="IV31" s="293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8"/>
      <c r="AB38" s="208"/>
      <c r="AC38" s="293"/>
      <c r="AD38" s="293"/>
      <c r="AE38" s="293"/>
      <c r="AF38" s="293"/>
      <c r="AG38" s="293"/>
      <c r="AH38" s="293"/>
      <c r="AI38" s="293"/>
      <c r="AJ38" s="293"/>
      <c r="AK38" s="293"/>
      <c r="AL38" s="293"/>
      <c r="AM38" s="293"/>
      <c r="AN38" s="208"/>
      <c r="AO38" s="208"/>
      <c r="AP38" s="293"/>
      <c r="AQ38" s="293"/>
      <c r="AR38" s="293"/>
      <c r="AS38" s="293"/>
      <c r="AT38" s="293"/>
      <c r="AU38" s="293"/>
      <c r="AV38" s="293"/>
      <c r="AW38" s="293"/>
      <c r="AX38" s="293"/>
      <c r="AY38" s="293"/>
      <c r="AZ38" s="293"/>
      <c r="BA38" s="208"/>
      <c r="BB38" s="208"/>
      <c r="BC38" s="293"/>
      <c r="BD38" s="293"/>
      <c r="BE38" s="293"/>
      <c r="BF38" s="293"/>
      <c r="BG38" s="293"/>
      <c r="BH38" s="293"/>
      <c r="BI38" s="293"/>
      <c r="BJ38" s="293"/>
      <c r="BK38" s="293"/>
      <c r="BL38" s="293"/>
      <c r="BM38" s="293"/>
      <c r="BN38" s="208"/>
      <c r="BO38" s="208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08"/>
      <c r="CB38" s="208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08"/>
      <c r="CO38" s="208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08"/>
      <c r="DB38" s="208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3"/>
      <c r="DN38" s="208"/>
      <c r="DO38" s="208"/>
      <c r="DP38" s="293"/>
      <c r="DQ38" s="293"/>
      <c r="DR38" s="293"/>
      <c r="DS38" s="293"/>
      <c r="DT38" s="293"/>
      <c r="DU38" s="293"/>
      <c r="DV38" s="293"/>
      <c r="DW38" s="293"/>
      <c r="DX38" s="293"/>
      <c r="DY38" s="293"/>
      <c r="DZ38" s="293"/>
      <c r="EA38" s="208"/>
      <c r="EB38" s="208"/>
      <c r="EC38" s="293"/>
      <c r="ED38" s="293"/>
      <c r="EE38" s="293"/>
      <c r="EF38" s="293"/>
      <c r="EG38" s="293"/>
      <c r="EH38" s="293"/>
      <c r="EI38" s="293"/>
      <c r="EJ38" s="293"/>
      <c r="EK38" s="293"/>
      <c r="EL38" s="293"/>
      <c r="EM38" s="293"/>
      <c r="EN38" s="208"/>
      <c r="EO38" s="208"/>
      <c r="EP38" s="293"/>
      <c r="EQ38" s="293"/>
      <c r="ER38" s="293"/>
      <c r="ES38" s="293"/>
      <c r="ET38" s="293"/>
      <c r="EU38" s="293"/>
      <c r="EV38" s="293"/>
      <c r="EW38" s="293"/>
      <c r="EX38" s="293"/>
      <c r="EY38" s="293"/>
      <c r="EZ38" s="293"/>
      <c r="FA38" s="208"/>
      <c r="FB38" s="208"/>
      <c r="FC38" s="293"/>
      <c r="FD38" s="293"/>
      <c r="FE38" s="293"/>
      <c r="FF38" s="293"/>
      <c r="FG38" s="293"/>
      <c r="FH38" s="293"/>
      <c r="FI38" s="293"/>
      <c r="FJ38" s="293"/>
      <c r="FK38" s="293"/>
      <c r="FL38" s="293"/>
      <c r="FM38" s="293"/>
      <c r="FN38" s="208"/>
      <c r="FO38" s="208"/>
      <c r="FP38" s="293"/>
      <c r="FQ38" s="293"/>
      <c r="FR38" s="293"/>
      <c r="FS38" s="293"/>
      <c r="FT38" s="293"/>
      <c r="FU38" s="293"/>
      <c r="FV38" s="293"/>
      <c r="FW38" s="293"/>
      <c r="FX38" s="293"/>
      <c r="FY38" s="293"/>
      <c r="FZ38" s="293"/>
      <c r="GA38" s="208"/>
      <c r="GB38" s="208"/>
      <c r="GC38" s="293"/>
      <c r="GD38" s="293"/>
      <c r="GE38" s="293"/>
      <c r="GF38" s="293"/>
      <c r="GG38" s="293"/>
      <c r="GH38" s="293"/>
      <c r="GI38" s="293"/>
      <c r="GJ38" s="293"/>
      <c r="GK38" s="293"/>
      <c r="GL38" s="293"/>
      <c r="GM38" s="293"/>
      <c r="GN38" s="208"/>
      <c r="GO38" s="208"/>
      <c r="GP38" s="293"/>
      <c r="GQ38" s="293"/>
      <c r="GR38" s="293"/>
      <c r="GS38" s="293"/>
      <c r="GT38" s="293"/>
      <c r="GU38" s="293"/>
      <c r="GV38" s="293"/>
      <c r="GW38" s="293"/>
      <c r="GX38" s="293"/>
      <c r="GY38" s="293"/>
      <c r="GZ38" s="293"/>
      <c r="HA38" s="208"/>
      <c r="HB38" s="208"/>
      <c r="HC38" s="293"/>
      <c r="HD38" s="293"/>
      <c r="HE38" s="293"/>
      <c r="HF38" s="293"/>
      <c r="HG38" s="293"/>
      <c r="HH38" s="293"/>
      <c r="HI38" s="293"/>
      <c r="HJ38" s="293"/>
      <c r="HK38" s="293"/>
      <c r="HL38" s="293"/>
      <c r="HM38" s="293"/>
      <c r="HN38" s="208"/>
      <c r="HO38" s="208"/>
      <c r="HP38" s="293"/>
      <c r="HQ38" s="293"/>
      <c r="HR38" s="293"/>
      <c r="HS38" s="293"/>
      <c r="HT38" s="293"/>
      <c r="HU38" s="293"/>
      <c r="HV38" s="293"/>
      <c r="HW38" s="293"/>
      <c r="HX38" s="293"/>
      <c r="HY38" s="293"/>
      <c r="HZ38" s="293"/>
      <c r="IA38" s="208"/>
      <c r="IB38" s="208"/>
      <c r="IC38" s="293"/>
      <c r="ID38" s="293"/>
      <c r="IE38" s="293"/>
      <c r="IF38" s="293"/>
      <c r="IG38" s="293"/>
      <c r="IH38" s="293"/>
      <c r="II38" s="293"/>
      <c r="IJ38" s="293"/>
      <c r="IK38" s="293"/>
      <c r="IL38" s="293"/>
      <c r="IM38" s="293"/>
      <c r="IN38" s="208"/>
      <c r="IO38" s="208"/>
      <c r="IP38" s="293"/>
      <c r="IQ38" s="293"/>
      <c r="IR38" s="293"/>
      <c r="IS38" s="293"/>
      <c r="IT38" s="293"/>
      <c r="IU38" s="293"/>
      <c r="IV38" s="293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8"/>
      <c r="AB39" s="208"/>
      <c r="AC39" s="293"/>
      <c r="AD39" s="293"/>
      <c r="AE39" s="293"/>
      <c r="AF39" s="293"/>
      <c r="AG39" s="293"/>
      <c r="AH39" s="293"/>
      <c r="AI39" s="293"/>
      <c r="AJ39" s="293"/>
      <c r="AK39" s="293"/>
      <c r="AL39" s="293"/>
      <c r="AM39" s="293"/>
      <c r="AN39" s="208"/>
      <c r="AO39" s="208"/>
      <c r="AP39" s="293"/>
      <c r="AQ39" s="293"/>
      <c r="AR39" s="293"/>
      <c r="AS39" s="293"/>
      <c r="AT39" s="293"/>
      <c r="AU39" s="293"/>
      <c r="AV39" s="293"/>
      <c r="AW39" s="293"/>
      <c r="AX39" s="293"/>
      <c r="AY39" s="293"/>
      <c r="AZ39" s="293"/>
      <c r="BA39" s="208"/>
      <c r="BB39" s="208"/>
      <c r="BC39" s="293"/>
      <c r="BD39" s="293"/>
      <c r="BE39" s="293"/>
      <c r="BF39" s="293"/>
      <c r="BG39" s="293"/>
      <c r="BH39" s="293"/>
      <c r="BI39" s="293"/>
      <c r="BJ39" s="293"/>
      <c r="BK39" s="293"/>
      <c r="BL39" s="293"/>
      <c r="BM39" s="293"/>
      <c r="BN39" s="208"/>
      <c r="BO39" s="208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08"/>
      <c r="CB39" s="208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08"/>
      <c r="CO39" s="208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08"/>
      <c r="DB39" s="208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3"/>
      <c r="DN39" s="208"/>
      <c r="DO39" s="208"/>
      <c r="DP39" s="293"/>
      <c r="DQ39" s="293"/>
      <c r="DR39" s="293"/>
      <c r="DS39" s="293"/>
      <c r="DT39" s="293"/>
      <c r="DU39" s="293"/>
      <c r="DV39" s="293"/>
      <c r="DW39" s="293"/>
      <c r="DX39" s="293"/>
      <c r="DY39" s="293"/>
      <c r="DZ39" s="293"/>
      <c r="EA39" s="208"/>
      <c r="EB39" s="208"/>
      <c r="EC39" s="293"/>
      <c r="ED39" s="293"/>
      <c r="EE39" s="293"/>
      <c r="EF39" s="293"/>
      <c r="EG39" s="293"/>
      <c r="EH39" s="293"/>
      <c r="EI39" s="293"/>
      <c r="EJ39" s="293"/>
      <c r="EK39" s="293"/>
      <c r="EL39" s="293"/>
      <c r="EM39" s="293"/>
      <c r="EN39" s="208"/>
      <c r="EO39" s="208"/>
      <c r="EP39" s="293"/>
      <c r="EQ39" s="293"/>
      <c r="ER39" s="293"/>
      <c r="ES39" s="293"/>
      <c r="ET39" s="293"/>
      <c r="EU39" s="293"/>
      <c r="EV39" s="293"/>
      <c r="EW39" s="293"/>
      <c r="EX39" s="293"/>
      <c r="EY39" s="293"/>
      <c r="EZ39" s="293"/>
      <c r="FA39" s="208"/>
      <c r="FB39" s="208"/>
      <c r="FC39" s="293"/>
      <c r="FD39" s="293"/>
      <c r="FE39" s="293"/>
      <c r="FF39" s="293"/>
      <c r="FG39" s="293"/>
      <c r="FH39" s="293"/>
      <c r="FI39" s="293"/>
      <c r="FJ39" s="293"/>
      <c r="FK39" s="293"/>
      <c r="FL39" s="293"/>
      <c r="FM39" s="293"/>
      <c r="FN39" s="208"/>
      <c r="FO39" s="208"/>
      <c r="FP39" s="293"/>
      <c r="FQ39" s="293"/>
      <c r="FR39" s="293"/>
      <c r="FS39" s="293"/>
      <c r="FT39" s="293"/>
      <c r="FU39" s="293"/>
      <c r="FV39" s="293"/>
      <c r="FW39" s="293"/>
      <c r="FX39" s="293"/>
      <c r="FY39" s="293"/>
      <c r="FZ39" s="293"/>
      <c r="GA39" s="208"/>
      <c r="GB39" s="208"/>
      <c r="GC39" s="293"/>
      <c r="GD39" s="293"/>
      <c r="GE39" s="293"/>
      <c r="GF39" s="293"/>
      <c r="GG39" s="293"/>
      <c r="GH39" s="293"/>
      <c r="GI39" s="293"/>
      <c r="GJ39" s="293"/>
      <c r="GK39" s="293"/>
      <c r="GL39" s="293"/>
      <c r="GM39" s="293"/>
      <c r="GN39" s="208"/>
      <c r="GO39" s="208"/>
      <c r="GP39" s="293"/>
      <c r="GQ39" s="293"/>
      <c r="GR39" s="293"/>
      <c r="GS39" s="293"/>
      <c r="GT39" s="293"/>
      <c r="GU39" s="293"/>
      <c r="GV39" s="293"/>
      <c r="GW39" s="293"/>
      <c r="GX39" s="293"/>
      <c r="GY39" s="293"/>
      <c r="GZ39" s="293"/>
      <c r="HA39" s="208"/>
      <c r="HB39" s="208"/>
      <c r="HC39" s="293"/>
      <c r="HD39" s="293"/>
      <c r="HE39" s="293"/>
      <c r="HF39" s="293"/>
      <c r="HG39" s="293"/>
      <c r="HH39" s="293"/>
      <c r="HI39" s="293"/>
      <c r="HJ39" s="293"/>
      <c r="HK39" s="293"/>
      <c r="HL39" s="293"/>
      <c r="HM39" s="293"/>
      <c r="HN39" s="208"/>
      <c r="HO39" s="208"/>
      <c r="HP39" s="293"/>
      <c r="HQ39" s="293"/>
      <c r="HR39" s="293"/>
      <c r="HS39" s="293"/>
      <c r="HT39" s="293"/>
      <c r="HU39" s="293"/>
      <c r="HV39" s="293"/>
      <c r="HW39" s="293"/>
      <c r="HX39" s="293"/>
      <c r="HY39" s="293"/>
      <c r="HZ39" s="293"/>
      <c r="IA39" s="208"/>
      <c r="IB39" s="208"/>
      <c r="IC39" s="293"/>
      <c r="ID39" s="293"/>
      <c r="IE39" s="293"/>
      <c r="IF39" s="293"/>
      <c r="IG39" s="293"/>
      <c r="IH39" s="293"/>
      <c r="II39" s="293"/>
      <c r="IJ39" s="293"/>
      <c r="IK39" s="293"/>
      <c r="IL39" s="293"/>
      <c r="IM39" s="293"/>
      <c r="IN39" s="208"/>
      <c r="IO39" s="208"/>
      <c r="IP39" s="293"/>
      <c r="IQ39" s="293"/>
      <c r="IR39" s="293"/>
      <c r="IS39" s="293"/>
      <c r="IT39" s="293"/>
      <c r="IU39" s="293"/>
      <c r="IV39" s="293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8"/>
      <c r="AB40" s="208"/>
      <c r="AC40" s="293"/>
      <c r="AD40" s="293"/>
      <c r="AE40" s="293"/>
      <c r="AF40" s="293"/>
      <c r="AG40" s="293"/>
      <c r="AH40" s="293"/>
      <c r="AI40" s="293"/>
      <c r="AJ40" s="293"/>
      <c r="AK40" s="293"/>
      <c r="AL40" s="293"/>
      <c r="AM40" s="293"/>
      <c r="AN40" s="208"/>
      <c r="AO40" s="208"/>
      <c r="AP40" s="293"/>
      <c r="AQ40" s="293"/>
      <c r="AR40" s="293"/>
      <c r="AS40" s="293"/>
      <c r="AT40" s="293"/>
      <c r="AU40" s="293"/>
      <c r="AV40" s="293"/>
      <c r="AW40" s="293"/>
      <c r="AX40" s="293"/>
      <c r="AY40" s="293"/>
      <c r="AZ40" s="293"/>
      <c r="BA40" s="208"/>
      <c r="BB40" s="208"/>
      <c r="BC40" s="293"/>
      <c r="BD40" s="293"/>
      <c r="BE40" s="293"/>
      <c r="BF40" s="293"/>
      <c r="BG40" s="293"/>
      <c r="BH40" s="293"/>
      <c r="BI40" s="293"/>
      <c r="BJ40" s="293"/>
      <c r="BK40" s="293"/>
      <c r="BL40" s="293"/>
      <c r="BM40" s="293"/>
      <c r="BN40" s="208"/>
      <c r="BO40" s="208"/>
      <c r="BP40" s="293"/>
      <c r="BQ40" s="293"/>
      <c r="BR40" s="293"/>
      <c r="BS40" s="293"/>
      <c r="BT40" s="293"/>
      <c r="BU40" s="293"/>
      <c r="BV40" s="293"/>
      <c r="BW40" s="293"/>
      <c r="BX40" s="293"/>
      <c r="BY40" s="293"/>
      <c r="BZ40" s="293"/>
      <c r="CA40" s="208"/>
      <c r="CB40" s="208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08"/>
      <c r="CO40" s="208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08"/>
      <c r="DB40" s="208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3"/>
      <c r="DN40" s="208"/>
      <c r="DO40" s="208"/>
      <c r="DP40" s="293"/>
      <c r="DQ40" s="293"/>
      <c r="DR40" s="293"/>
      <c r="DS40" s="293"/>
      <c r="DT40" s="293"/>
      <c r="DU40" s="293"/>
      <c r="DV40" s="293"/>
      <c r="DW40" s="293"/>
      <c r="DX40" s="293"/>
      <c r="DY40" s="293"/>
      <c r="DZ40" s="293"/>
      <c r="EA40" s="208"/>
      <c r="EB40" s="208"/>
      <c r="EC40" s="293"/>
      <c r="ED40" s="293"/>
      <c r="EE40" s="293"/>
      <c r="EF40" s="293"/>
      <c r="EG40" s="293"/>
      <c r="EH40" s="293"/>
      <c r="EI40" s="293"/>
      <c r="EJ40" s="293"/>
      <c r="EK40" s="293"/>
      <c r="EL40" s="293"/>
      <c r="EM40" s="293"/>
      <c r="EN40" s="208"/>
      <c r="EO40" s="208"/>
      <c r="EP40" s="293"/>
      <c r="EQ40" s="293"/>
      <c r="ER40" s="293"/>
      <c r="ES40" s="293"/>
      <c r="ET40" s="293"/>
      <c r="EU40" s="293"/>
      <c r="EV40" s="293"/>
      <c r="EW40" s="293"/>
      <c r="EX40" s="293"/>
      <c r="EY40" s="293"/>
      <c r="EZ40" s="293"/>
      <c r="FA40" s="208"/>
      <c r="FB40" s="208"/>
      <c r="FC40" s="293"/>
      <c r="FD40" s="293"/>
      <c r="FE40" s="293"/>
      <c r="FF40" s="293"/>
      <c r="FG40" s="293"/>
      <c r="FH40" s="293"/>
      <c r="FI40" s="293"/>
      <c r="FJ40" s="293"/>
      <c r="FK40" s="293"/>
      <c r="FL40" s="293"/>
      <c r="FM40" s="293"/>
      <c r="FN40" s="208"/>
      <c r="FO40" s="208"/>
      <c r="FP40" s="293"/>
      <c r="FQ40" s="293"/>
      <c r="FR40" s="293"/>
      <c r="FS40" s="293"/>
      <c r="FT40" s="293"/>
      <c r="FU40" s="293"/>
      <c r="FV40" s="293"/>
      <c r="FW40" s="293"/>
      <c r="FX40" s="293"/>
      <c r="FY40" s="293"/>
      <c r="FZ40" s="293"/>
      <c r="GA40" s="208"/>
      <c r="GB40" s="208"/>
      <c r="GC40" s="293"/>
      <c r="GD40" s="293"/>
      <c r="GE40" s="293"/>
      <c r="GF40" s="293"/>
      <c r="GG40" s="293"/>
      <c r="GH40" s="293"/>
      <c r="GI40" s="293"/>
      <c r="GJ40" s="293"/>
      <c r="GK40" s="293"/>
      <c r="GL40" s="293"/>
      <c r="GM40" s="293"/>
      <c r="GN40" s="208"/>
      <c r="GO40" s="208"/>
      <c r="GP40" s="293"/>
      <c r="GQ40" s="293"/>
      <c r="GR40" s="293"/>
      <c r="GS40" s="293"/>
      <c r="GT40" s="293"/>
      <c r="GU40" s="293"/>
      <c r="GV40" s="293"/>
      <c r="GW40" s="293"/>
      <c r="GX40" s="293"/>
      <c r="GY40" s="293"/>
      <c r="GZ40" s="293"/>
      <c r="HA40" s="208"/>
      <c r="HB40" s="208"/>
      <c r="HC40" s="293"/>
      <c r="HD40" s="293"/>
      <c r="HE40" s="293"/>
      <c r="HF40" s="293"/>
      <c r="HG40" s="293"/>
      <c r="HH40" s="293"/>
      <c r="HI40" s="293"/>
      <c r="HJ40" s="293"/>
      <c r="HK40" s="293"/>
      <c r="HL40" s="293"/>
      <c r="HM40" s="293"/>
      <c r="HN40" s="208"/>
      <c r="HO40" s="208"/>
      <c r="HP40" s="293"/>
      <c r="HQ40" s="293"/>
      <c r="HR40" s="293"/>
      <c r="HS40" s="293"/>
      <c r="HT40" s="293"/>
      <c r="HU40" s="293"/>
      <c r="HV40" s="293"/>
      <c r="HW40" s="293"/>
      <c r="HX40" s="293"/>
      <c r="HY40" s="293"/>
      <c r="HZ40" s="293"/>
      <c r="IA40" s="208"/>
      <c r="IB40" s="208"/>
      <c r="IC40" s="293"/>
      <c r="ID40" s="293"/>
      <c r="IE40" s="293"/>
      <c r="IF40" s="293"/>
      <c r="IG40" s="293"/>
      <c r="IH40" s="293"/>
      <c r="II40" s="293"/>
      <c r="IJ40" s="293"/>
      <c r="IK40" s="293"/>
      <c r="IL40" s="293"/>
      <c r="IM40" s="293"/>
      <c r="IN40" s="208"/>
      <c r="IO40" s="208"/>
      <c r="IP40" s="293"/>
      <c r="IQ40" s="293"/>
      <c r="IR40" s="293"/>
      <c r="IS40" s="293"/>
      <c r="IT40" s="293"/>
      <c r="IU40" s="293"/>
      <c r="IV40" s="293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F0A" sheet="1" objects="1" scenarios="1"/>
  <mergeCells count="223"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2012-07-25T15:19:47Z</cp:lastPrinted>
  <dcterms:created xsi:type="dcterms:W3CDTF">1997-12-04T19:04:30Z</dcterms:created>
  <dcterms:modified xsi:type="dcterms:W3CDTF">2012-11-21T14:30:19Z</dcterms:modified>
</cp:coreProperties>
</file>