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workbookPassword="BF0A" lockStructure="1"/>
  <bookViews>
    <workbookView xWindow="-15" yWindow="-15" windowWidth="12720" windowHeight="116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J590" i="1" l="1"/>
  <c r="H590" i="1"/>
  <c r="H603" i="1"/>
  <c r="F581" i="1"/>
  <c r="H582" i="1"/>
  <c r="H540" i="1"/>
  <c r="I506" i="1"/>
  <c r="H398" i="1" l="1"/>
  <c r="H390" i="1"/>
  <c r="H388" i="1"/>
  <c r="F367" i="1"/>
  <c r="F366" i="1"/>
  <c r="H207" i="1"/>
  <c r="H243" i="1"/>
  <c r="K239" i="1"/>
  <c r="I239" i="1"/>
  <c r="H239" i="1"/>
  <c r="G239" i="1"/>
  <c r="F239" i="1"/>
  <c r="K203" i="1"/>
  <c r="I203" i="1"/>
  <c r="H203" i="1"/>
  <c r="G203" i="1"/>
  <c r="F203" i="1"/>
  <c r="H233" i="1"/>
  <c r="H197" i="1"/>
  <c r="F13" i="1" l="1"/>
  <c r="F40" i="2" l="1"/>
  <c r="D39" i="2"/>
  <c r="G654" i="1" l="1"/>
  <c r="F47" i="2" l="1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G31" i="13" s="1"/>
  <c r="G33" i="13" s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6" i="1" s="1"/>
  <c r="C139" i="2" s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I662" i="1" s="1"/>
  <c r="C40" i="10"/>
  <c r="G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G139" i="1" s="1"/>
  <c r="H120" i="1"/>
  <c r="H135" i="1"/>
  <c r="I120" i="1"/>
  <c r="I135" i="1"/>
  <c r="I139" i="1" s="1"/>
  <c r="J120" i="1"/>
  <c r="J135" i="1"/>
  <c r="F146" i="1"/>
  <c r="F161" i="1"/>
  <c r="G146" i="1"/>
  <c r="G161" i="1"/>
  <c r="G168" i="1" s="1"/>
  <c r="H146" i="1"/>
  <c r="H161" i="1"/>
  <c r="I146" i="1"/>
  <c r="I161" i="1"/>
  <c r="C12" i="10"/>
  <c r="C13" i="10"/>
  <c r="C15" i="10"/>
  <c r="C16" i="10"/>
  <c r="C17" i="10"/>
  <c r="C19" i="10"/>
  <c r="C20" i="10"/>
  <c r="L249" i="1"/>
  <c r="L331" i="1"/>
  <c r="L253" i="1"/>
  <c r="C24" i="10" s="1"/>
  <c r="C25" i="10"/>
  <c r="L267" i="1"/>
  <c r="L268" i="1"/>
  <c r="L348" i="1"/>
  <c r="L349" i="1"/>
  <c r="I664" i="1"/>
  <c r="I669" i="1"/>
  <c r="L228" i="1"/>
  <c r="F661" i="1"/>
  <c r="G661" i="1"/>
  <c r="I668" i="1"/>
  <c r="C5" i="10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D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C114" i="2"/>
  <c r="D114" i="2"/>
  <c r="F114" i="2"/>
  <c r="G114" i="2"/>
  <c r="C117" i="2"/>
  <c r="E117" i="2"/>
  <c r="C118" i="2"/>
  <c r="E118" i="2"/>
  <c r="E119" i="2"/>
  <c r="E120" i="2"/>
  <c r="C121" i="2"/>
  <c r="E121" i="2"/>
  <c r="C122" i="2"/>
  <c r="E122" i="2"/>
  <c r="C123" i="2"/>
  <c r="E123" i="2"/>
  <c r="C124" i="2"/>
  <c r="E124" i="2"/>
  <c r="D126" i="2"/>
  <c r="D127" i="2" s="1"/>
  <c r="F127" i="2"/>
  <c r="G127" i="2"/>
  <c r="C129" i="2"/>
  <c r="E129" i="2"/>
  <c r="F129" i="2"/>
  <c r="D133" i="2"/>
  <c r="D143" i="2"/>
  <c r="E133" i="2"/>
  <c r="F133" i="2"/>
  <c r="K418" i="1"/>
  <c r="K426" i="1"/>
  <c r="K433" i="1" s="1"/>
  <c r="G133" i="2" s="1"/>
  <c r="G143" i="2" s="1"/>
  <c r="G144" i="2" s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I19" i="1"/>
  <c r="F32" i="1"/>
  <c r="G32" i="1"/>
  <c r="H32" i="1"/>
  <c r="I32" i="1"/>
  <c r="F50" i="1"/>
  <c r="F51" i="1" s="1"/>
  <c r="G50" i="1"/>
  <c r="G51" i="1" s="1"/>
  <c r="H617" i="1" s="1"/>
  <c r="H50" i="1"/>
  <c r="H51" i="1" s="1"/>
  <c r="I50" i="1"/>
  <c r="I51" i="1" s="1"/>
  <c r="H619" i="1" s="1"/>
  <c r="F176" i="1"/>
  <c r="I176" i="1"/>
  <c r="F182" i="1"/>
  <c r="G182" i="1"/>
  <c r="H182" i="1"/>
  <c r="I182" i="1"/>
  <c r="I191" i="1" s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F433" i="1" s="1"/>
  <c r="G418" i="1"/>
  <c r="H418" i="1"/>
  <c r="I418" i="1"/>
  <c r="J418" i="1"/>
  <c r="J433" i="1" s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H433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7" i="1"/>
  <c r="G618" i="1"/>
  <c r="G619" i="1"/>
  <c r="J619" i="1" s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H634" i="1"/>
  <c r="H635" i="1"/>
  <c r="H636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H646" i="1"/>
  <c r="G648" i="1"/>
  <c r="G649" i="1"/>
  <c r="G650" i="1"/>
  <c r="G651" i="1"/>
  <c r="H651" i="1"/>
  <c r="J651" i="1" s="1"/>
  <c r="G652" i="1"/>
  <c r="H652" i="1"/>
  <c r="G653" i="1"/>
  <c r="H653" i="1"/>
  <c r="H654" i="1"/>
  <c r="J351" i="1"/>
  <c r="F191" i="1"/>
  <c r="L255" i="1"/>
  <c r="K256" i="1"/>
  <c r="K270" i="1" s="1"/>
  <c r="I256" i="1"/>
  <c r="I270" i="1" s="1"/>
  <c r="G256" i="1"/>
  <c r="G270" i="1" s="1"/>
  <c r="G163" i="2"/>
  <c r="G159" i="2"/>
  <c r="C18" i="2"/>
  <c r="F31" i="2"/>
  <c r="C26" i="10"/>
  <c r="L327" i="1"/>
  <c r="L350" i="1"/>
  <c r="L289" i="1"/>
  <c r="A31" i="12"/>
  <c r="C69" i="2"/>
  <c r="A40" i="12"/>
  <c r="D12" i="13"/>
  <c r="C12" i="13" s="1"/>
  <c r="G8" i="2"/>
  <c r="G161" i="2"/>
  <c r="D61" i="2"/>
  <c r="D62" i="2" s="1"/>
  <c r="E49" i="2"/>
  <c r="D18" i="13"/>
  <c r="C18" i="13" s="1"/>
  <c r="D15" i="13"/>
  <c r="C15" i="13" s="1"/>
  <c r="D7" i="13"/>
  <c r="F102" i="2"/>
  <c r="D18" i="2"/>
  <c r="E18" i="2"/>
  <c r="D17" i="13"/>
  <c r="C17" i="13" s="1"/>
  <c r="D6" i="13"/>
  <c r="C6" i="13" s="1"/>
  <c r="G158" i="2"/>
  <c r="C90" i="2"/>
  <c r="G80" i="2"/>
  <c r="F77" i="2"/>
  <c r="F80" i="2" s="1"/>
  <c r="F61" i="2"/>
  <c r="F62" i="2" s="1"/>
  <c r="D31" i="2"/>
  <c r="C77" i="2"/>
  <c r="D49" i="2"/>
  <c r="D50" i="2" s="1"/>
  <c r="G156" i="2"/>
  <c r="F49" i="2"/>
  <c r="F50" i="2" s="1"/>
  <c r="F18" i="2"/>
  <c r="G162" i="2"/>
  <c r="G160" i="2"/>
  <c r="G157" i="2"/>
  <c r="G155" i="2"/>
  <c r="E143" i="2"/>
  <c r="E114" i="2"/>
  <c r="G102" i="2"/>
  <c r="E102" i="2"/>
  <c r="C102" i="2"/>
  <c r="D90" i="2"/>
  <c r="F90" i="2"/>
  <c r="E61" i="2"/>
  <c r="C61" i="2"/>
  <c r="E31" i="2"/>
  <c r="C31" i="2"/>
  <c r="G61" i="2"/>
  <c r="D29" i="13"/>
  <c r="C29" i="13" s="1"/>
  <c r="D19" i="13"/>
  <c r="C19" i="13" s="1"/>
  <c r="D14" i="13"/>
  <c r="C14" i="13" s="1"/>
  <c r="E13" i="13"/>
  <c r="C13" i="13" s="1"/>
  <c r="C7" i="13"/>
  <c r="G570" i="1" l="1"/>
  <c r="D102" i="2"/>
  <c r="C11" i="10"/>
  <c r="F31" i="13"/>
  <c r="F660" i="1"/>
  <c r="C21" i="10"/>
  <c r="C18" i="10"/>
  <c r="J653" i="1"/>
  <c r="J652" i="1"/>
  <c r="F544" i="1"/>
  <c r="I433" i="1"/>
  <c r="G433" i="1"/>
  <c r="I337" i="1"/>
  <c r="I351" i="1" s="1"/>
  <c r="E90" i="2"/>
  <c r="J641" i="1"/>
  <c r="G660" i="1"/>
  <c r="H660" i="1"/>
  <c r="L361" i="1"/>
  <c r="H661" i="1"/>
  <c r="I661" i="1" s="1"/>
  <c r="C119" i="2"/>
  <c r="L246" i="1"/>
  <c r="H659" i="1" s="1"/>
  <c r="H663" i="1" s="1"/>
  <c r="J648" i="1"/>
  <c r="C120" i="2"/>
  <c r="C127" i="2" s="1"/>
  <c r="E8" i="13"/>
  <c r="C8" i="13" s="1"/>
  <c r="A22" i="12"/>
  <c r="C10" i="10"/>
  <c r="L210" i="1"/>
  <c r="F659" i="1" s="1"/>
  <c r="F663" i="1" s="1"/>
  <c r="F139" i="1"/>
  <c r="H618" i="1"/>
  <c r="J618" i="1" s="1"/>
  <c r="H56" i="1"/>
  <c r="H59" i="1" s="1"/>
  <c r="E55" i="2" s="1"/>
  <c r="E62" i="2" s="1"/>
  <c r="E103" i="2" s="1"/>
  <c r="H616" i="1"/>
  <c r="J616" i="1" s="1"/>
  <c r="F59" i="1"/>
  <c r="C55" i="2" s="1"/>
  <c r="C62" i="2" s="1"/>
  <c r="C80" i="2"/>
  <c r="E77" i="2"/>
  <c r="E80" i="2" s="1"/>
  <c r="F103" i="2"/>
  <c r="L426" i="1"/>
  <c r="J256" i="1"/>
  <c r="J270" i="1" s="1"/>
  <c r="J640" i="1"/>
  <c r="J638" i="1"/>
  <c r="K604" i="1"/>
  <c r="G647" i="1" s="1"/>
  <c r="J570" i="1"/>
  <c r="K570" i="1"/>
  <c r="L432" i="1"/>
  <c r="L418" i="1"/>
  <c r="L433" i="1" s="1"/>
  <c r="G637" i="1" s="1"/>
  <c r="J637" i="1" s="1"/>
  <c r="D80" i="2"/>
  <c r="I168" i="1"/>
  <c r="H168" i="1"/>
  <c r="G551" i="1"/>
  <c r="E50" i="2"/>
  <c r="J643" i="1"/>
  <c r="J642" i="1"/>
  <c r="J475" i="1"/>
  <c r="H625" i="1" s="1"/>
  <c r="H475" i="1"/>
  <c r="H623" i="1" s="1"/>
  <c r="J623" i="1" s="1"/>
  <c r="F475" i="1"/>
  <c r="H621" i="1" s="1"/>
  <c r="I475" i="1"/>
  <c r="H624" i="1" s="1"/>
  <c r="G475" i="1"/>
  <c r="H622" i="1" s="1"/>
  <c r="J622" i="1" s="1"/>
  <c r="G337" i="1"/>
  <c r="G351" i="1" s="1"/>
  <c r="D144" i="2"/>
  <c r="C23" i="10"/>
  <c r="F168" i="1"/>
  <c r="J139" i="1"/>
  <c r="D103" i="2"/>
  <c r="J621" i="1"/>
  <c r="F570" i="1"/>
  <c r="H256" i="1"/>
  <c r="H270" i="1" s="1"/>
  <c r="G62" i="2"/>
  <c r="G103" i="2" s="1"/>
  <c r="G12" i="2"/>
  <c r="G18" i="2" s="1"/>
  <c r="J19" i="1"/>
  <c r="G620" i="1" s="1"/>
  <c r="I551" i="1"/>
  <c r="K548" i="1"/>
  <c r="K549" i="1"/>
  <c r="G22" i="2"/>
  <c r="G31" i="2" s="1"/>
  <c r="J32" i="1"/>
  <c r="K597" i="1"/>
  <c r="G646" i="1" s="1"/>
  <c r="J646" i="1" s="1"/>
  <c r="K544" i="1"/>
  <c r="I192" i="1"/>
  <c r="G629" i="1" s="1"/>
  <c r="J629" i="1" s="1"/>
  <c r="J617" i="1"/>
  <c r="J551" i="1"/>
  <c r="H551" i="1"/>
  <c r="C29" i="10"/>
  <c r="I660" i="1"/>
  <c r="H139" i="1"/>
  <c r="C38" i="10" s="1"/>
  <c r="L400" i="1"/>
  <c r="C138" i="2" s="1"/>
  <c r="L392" i="1"/>
  <c r="A13" i="12"/>
  <c r="F22" i="13"/>
  <c r="H25" i="13"/>
  <c r="J650" i="1"/>
  <c r="J639" i="1"/>
  <c r="J633" i="1"/>
  <c r="H570" i="1"/>
  <c r="L559" i="1"/>
  <c r="J544" i="1"/>
  <c r="L336" i="1"/>
  <c r="H337" i="1"/>
  <c r="H351" i="1" s="1"/>
  <c r="F337" i="1"/>
  <c r="F351" i="1" s="1"/>
  <c r="G191" i="1"/>
  <c r="G192" i="1" s="1"/>
  <c r="G627" i="1" s="1"/>
  <c r="J627" i="1" s="1"/>
  <c r="H191" i="1"/>
  <c r="E127" i="2"/>
  <c r="E144" i="2" s="1"/>
  <c r="F551" i="1"/>
  <c r="L308" i="1"/>
  <c r="D5" i="13"/>
  <c r="E16" i="13"/>
  <c r="J624" i="1"/>
  <c r="C49" i="2"/>
  <c r="C50" i="2" s="1"/>
  <c r="J654" i="1"/>
  <c r="J644" i="1"/>
  <c r="J192" i="1"/>
  <c r="L569" i="1"/>
  <c r="I570" i="1"/>
  <c r="I544" i="1"/>
  <c r="J635" i="1"/>
  <c r="G36" i="2"/>
  <c r="G49" i="2" s="1"/>
  <c r="G50" i="2" s="1"/>
  <c r="J50" i="1"/>
  <c r="C39" i="10"/>
  <c r="L564" i="1"/>
  <c r="L570" i="1" s="1"/>
  <c r="G544" i="1"/>
  <c r="L544" i="1"/>
  <c r="H544" i="1"/>
  <c r="K550" i="1"/>
  <c r="F143" i="2"/>
  <c r="F144" i="2" s="1"/>
  <c r="H111" i="1" l="1"/>
  <c r="H192" i="1" s="1"/>
  <c r="G628" i="1" s="1"/>
  <c r="J628" i="1" s="1"/>
  <c r="C103" i="2"/>
  <c r="K551" i="1"/>
  <c r="C27" i="10"/>
  <c r="G634" i="1"/>
  <c r="J634" i="1" s="1"/>
  <c r="C28" i="10"/>
  <c r="D23" i="10" s="1"/>
  <c r="H671" i="1"/>
  <c r="C6" i="10" s="1"/>
  <c r="H666" i="1"/>
  <c r="H647" i="1"/>
  <c r="J647" i="1" s="1"/>
  <c r="D25" i="10"/>
  <c r="L256" i="1"/>
  <c r="L270" i="1" s="1"/>
  <c r="G631" i="1" s="1"/>
  <c r="J631" i="1" s="1"/>
  <c r="D15" i="10"/>
  <c r="D11" i="10"/>
  <c r="D24" i="10"/>
  <c r="C35" i="10"/>
  <c r="F111" i="1"/>
  <c r="D19" i="10"/>
  <c r="D16" i="10"/>
  <c r="D12" i="10"/>
  <c r="D21" i="10"/>
  <c r="C5" i="13"/>
  <c r="C22" i="13"/>
  <c r="F33" i="13"/>
  <c r="C137" i="2"/>
  <c r="C140" i="2" s="1"/>
  <c r="C143" i="2" s="1"/>
  <c r="C144" i="2" s="1"/>
  <c r="L407" i="1"/>
  <c r="C16" i="13"/>
  <c r="E33" i="13"/>
  <c r="D35" i="13" s="1"/>
  <c r="G659" i="1"/>
  <c r="D31" i="13"/>
  <c r="C31" i="13" s="1"/>
  <c r="L337" i="1"/>
  <c r="L351" i="1" s="1"/>
  <c r="G632" i="1" s="1"/>
  <c r="J632" i="1" s="1"/>
  <c r="C25" i="13"/>
  <c r="H33" i="13"/>
  <c r="F666" i="1"/>
  <c r="F671" i="1"/>
  <c r="C4" i="10" s="1"/>
  <c r="G630" i="1"/>
  <c r="J630" i="1" s="1"/>
  <c r="G645" i="1"/>
  <c r="G625" i="1"/>
  <c r="J51" i="1"/>
  <c r="H620" i="1" s="1"/>
  <c r="J620" i="1" s="1"/>
  <c r="C36" i="10" l="1"/>
  <c r="C41" i="10" s="1"/>
  <c r="D39" i="10" s="1"/>
  <c r="D10" i="10"/>
  <c r="D20" i="10"/>
  <c r="D13" i="10"/>
  <c r="D18" i="10"/>
  <c r="D26" i="10"/>
  <c r="C30" i="10"/>
  <c r="D17" i="10"/>
  <c r="D27" i="10"/>
  <c r="D22" i="10"/>
  <c r="F192" i="1"/>
  <c r="G626" i="1" s="1"/>
  <c r="J626" i="1" s="1"/>
  <c r="G636" i="1"/>
  <c r="J636" i="1" s="1"/>
  <c r="H645" i="1"/>
  <c r="J645" i="1" s="1"/>
  <c r="D33" i="13"/>
  <c r="D36" i="13" s="1"/>
  <c r="G663" i="1"/>
  <c r="I659" i="1"/>
  <c r="I663" i="1" s="1"/>
  <c r="D37" i="10"/>
  <c r="D35" i="10"/>
  <c r="D40" i="10"/>
  <c r="D36" i="10"/>
  <c r="D38" i="10"/>
  <c r="J625" i="1"/>
  <c r="H655" i="1"/>
  <c r="D28" i="10" l="1"/>
  <c r="D41" i="10"/>
  <c r="I666" i="1"/>
  <c r="I671" i="1"/>
  <c r="C7" i="10" s="1"/>
  <c r="G671" i="1"/>
  <c r="G666" i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<sst xmlns="http://schemas.openxmlformats.org/spreadsheetml/2006/main" count="3943" uniqueCount="910">
  <si>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</si>
  <si>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</si>
  <si>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</si>
  <si>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</si>
  <si>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</si>
  <si>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</si>
  <si>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</si>
  <si>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</si>
  <si>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</si>
  <si>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</si>
  <si>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</si>
  <si>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</si>
  <si>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</si>
  <si>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</si>
  <si>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</si>
  <si>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</si>
  <si>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</si>
  <si>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</si>
  <si>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</si>
  <si>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</si>
  <si>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</si>
  <si>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</si>
  <si>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</si>
  <si>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</si>
  <si>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</si>
  <si>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</si>
  <si>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</si>
  <si>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</si>
  <si>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</si>
  <si>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</si>
  <si>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</si>
  <si>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</si>
  <si>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</si>
  <si>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</si>
  <si>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</si>
  <si>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</si>
  <si>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</si>
  <si>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</si>
  <si>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</si>
  <si>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</si>
  <si>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</si>
  <si>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</si>
  <si>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</si>
  <si>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</si>
  <si>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</si>
  <si>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</si>
  <si>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</si>
  <si>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</si>
  <si>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</si>
  <si>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</si>
  <si>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</si>
  <si>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</si>
  <si>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</si>
  <si>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</si>
  <si>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</si>
  <si>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</si>
  <si>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</si>
  <si>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</si>
  <si>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</si>
  <si>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</si>
  <si>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</si>
  <si>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</si>
  <si>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</si>
  <si>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</si>
  <si>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</si>
  <si>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</si>
  <si>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</si>
  <si>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</si>
  <si>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</si>
  <si>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</si>
  <si>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</si>
  <si>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</si>
  <si>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</si>
  <si>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</si>
  <si>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</si>
  <si>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</si>
  <si>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</si>
  <si>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</si>
  <si>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</si>
  <si>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</si>
  <si>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</si>
  <si>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</si>
  <si>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</si>
  <si>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</si>
  <si>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</si>
  <si>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</si>
  <si>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</si>
  <si>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</si>
  <si>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</si>
  <si>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</si>
  <si>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</si>
  <si>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</si>
  <si>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</si>
  <si>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</si>
  <si>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</si>
  <si>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</si>
  <si>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</si>
  <si>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</si>
  <si>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</si>
  <si>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</si>
  <si>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</si>
  <si>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</si>
  <si>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</si>
  <si>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</si>
  <si>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</si>
  <si>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</si>
  <si>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</si>
  <si>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</si>
  <si>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</si>
  <si>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</si>
  <si>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</si>
  <si>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</si>
  <si>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</si>
  <si>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</si>
  <si>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</si>
  <si>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</si>
  <si>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</si>
  <si>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</si>
  <si>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</si>
  <si>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</si>
  <si>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</si>
  <si>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</si>
  <si>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</si>
  <si>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</si>
  <si>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</si>
  <si>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</si>
  <si>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</si>
  <si>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</si>
  <si>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</si>
  <si>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</si>
  <si>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</si>
  <si>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</si>
  <si>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</si>
  <si>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</si>
  <si>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</si>
  <si>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</si>
  <si>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</si>
  <si>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</si>
  <si>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</si>
  <si>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</si>
  <si>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</si>
  <si>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</si>
  <si>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</si>
  <si>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</si>
  <si>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</si>
  <si>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</si>
  <si>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</si>
  <si>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</si>
  <si>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</si>
  <si>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</si>
  <si>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</si>
  <si>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</si>
  <si>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</si>
  <si>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</si>
  <si>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</si>
  <si>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</si>
  <si>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</si>
  <si>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</si>
  <si>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</si>
  <si>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</si>
  <si>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</si>
  <si>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</si>
  <si>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</si>
  <si>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</si>
  <si>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</si>
  <si>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</si>
  <si>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</si>
  <si>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</si>
  <si>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</si>
  <si>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</si>
  <si>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</si>
  <si>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</si>
  <si>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</si>
  <si>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</si>
  <si>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</si>
  <si>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</si>
  <si>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</si>
  <si>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</si>
  <si>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</si>
  <si>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</si>
  <si>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</si>
  <si>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</si>
  <si>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</si>
  <si>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</si>
  <si>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</si>
  <si>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</si>
  <si>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</si>
  <si>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</si>
  <si>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</si>
  <si>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</si>
  <si>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</si>
  <si>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</si>
  <si>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</si>
  <si>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</si>
  <si>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</si>
  <si>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</si>
  <si>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</si>
  <si>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</si>
  <si>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</si>
  <si>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</si>
  <si>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</si>
  <si>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</si>
  <si>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</si>
  <si>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</si>
  <si>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</si>
  <si>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</si>
  <si>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</si>
  <si>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</si>
  <si>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</si>
  <si>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</si>
  <si>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</si>
  <si>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</si>
  <si>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</si>
  <si>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</si>
  <si>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</si>
  <si>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</si>
  <si>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</si>
  <si>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</si>
  <si>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</si>
  <si>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</si>
  <si>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</si>
  <si>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</si>
  <si>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</si>
  <si>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</si>
  <si>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</si>
  <si>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</si>
  <si>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</si>
  <si>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</si>
  <si>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</si>
  <si>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</si>
  <si>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</si>
  <si>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</si>
  <si>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</si>
  <si>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</si>
  <si>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</si>
  <si>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</si>
  <si>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</si>
  <si>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</si>
  <si>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</si>
  <si>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</si>
  <si>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</si>
  <si>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</si>
  <si>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</si>
  <si>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</si>
  <si>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</si>
  <si>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</si>
  <si>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</si>
  <si>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</si>
  <si>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</si>
  <si>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</si>
  <si>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</si>
  <si>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</si>
  <si>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</si>
  <si>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</si>
  <si>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</si>
  <si>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</si>
  <si>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</si>
  <si>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</si>
  <si>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</si>
  <si>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</si>
  <si>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</si>
  <si>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</si>
  <si>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</si>
  <si>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</si>
  <si>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</si>
  <si>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</si>
  <si>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</si>
  <si>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</si>
  <si>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</si>
  <si>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</si>
  <si>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</si>
  <si>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</si>
  <si>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</si>
  <si>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</si>
  <si>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</si>
  <si>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</si>
  <si>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</si>
  <si>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</si>
  <si>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</si>
  <si>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</si>
  <si>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</si>
  <si>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</si>
  <si>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</si>
  <si>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</si>
  <si>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</si>
  <si>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</si>
  <si>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</si>
  <si>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</si>
  <si>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</si>
  <si>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</si>
  <si>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</si>
  <si>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</si>
  <si>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</si>
  <si>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</si>
  <si>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</si>
  <si>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</si>
  <si>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</si>
  <si>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</si>
  <si>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</si>
  <si>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</si>
  <si>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</si>
  <si>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</si>
  <si>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</si>
  <si>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</si>
  <si>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</si>
  <si>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</si>
  <si>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</si>
  <si>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</si>
  <si>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</si>
  <si>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</si>
  <si>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</si>
  <si>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</si>
  <si>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</si>
  <si>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</si>
  <si>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</si>
  <si>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</si>
  <si>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</si>
  <si>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</si>
  <si>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</si>
  <si>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</si>
  <si>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</si>
  <si>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</si>
  <si>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</si>
  <si>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</si>
  <si>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</si>
  <si>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</si>
  <si>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</si>
  <si>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</si>
  <si>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</si>
  <si>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</si>
  <si>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</si>
  <si>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</si>
  <si>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</si>
  <si>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</si>
  <si>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</si>
  <si>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</si>
  <si>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</si>
  <si>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</si>
  <si>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</si>
  <si>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</si>
  <si>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</si>
  <si>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</si>
  <si>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</si>
  <si>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</si>
  <si>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</si>
  <si>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</si>
  <si>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</si>
  <si>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</si>
  <si>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</si>
  <si>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</si>
  <si>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</si>
  <si>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</si>
  <si>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</si>
  <si>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</si>
  <si>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</si>
  <si>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</si>
  <si>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</si>
  <si>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</si>
  <si>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</si>
  <si>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</si>
  <si>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</si>
  <si>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</si>
  <si>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</si>
  <si>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</si>
  <si>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</si>
  <si>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</si>
  <si>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</si>
  <si>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</si>
  <si>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</si>
  <si>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</si>
  <si>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</si>
  <si>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</si>
  <si>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</si>
  <si>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</si>
  <si>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</si>
  <si>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</si>
  <si>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</si>
  <si>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</si>
  <si>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</si>
  <si>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</si>
  <si>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</si>
  <si>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</si>
  <si>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</si>
  <si>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</si>
  <si>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</si>
  <si>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</si>
  <si>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</si>
  <si>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</si>
  <si>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</si>
  <si>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</si>
  <si>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</si>
  <si>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</si>
  <si>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</si>
  <si>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</si>
  <si>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</si>
  <si>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</si>
  <si>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</si>
  <si>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</si>
  <si>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</si>
  <si>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</si>
  <si>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</si>
  <si>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</si>
  <si>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</si>
  <si>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</si>
  <si>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</si>
  <si>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</si>
  <si>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</si>
  <si>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</si>
  <si>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</si>
  <si>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</si>
  <si>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</si>
  <si>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</si>
  <si>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</si>
  <si>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</si>
  <si>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</si>
  <si>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</si>
  <si>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</si>
  <si>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</si>
  <si>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</si>
  <si>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</si>
  <si>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</si>
  <si>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</si>
  <si>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</si>
  <si>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</si>
  <si>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</si>
  <si>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</si>
  <si>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</si>
  <si>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</si>
  <si>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</si>
  <si>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</si>
  <si>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</si>
  <si>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</si>
  <si>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</si>
  <si>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</si>
  <si>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</si>
  <si>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</si>
  <si>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</si>
  <si>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</si>
  <si>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</si>
  <si>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</si>
  <si>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</si>
  <si>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</si>
  <si>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</si>
  <si>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</si>
  <si>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</si>
  <si>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</si>
  <si>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</si>
  <si>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</si>
  <si>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</si>
  <si>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</si>
  <si>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</si>
  <si>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</si>
  <si>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</si>
  <si>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</si>
  <si>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</si>
  <si>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</si>
  <si>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</si>
  <si>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</si>
  <si>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</si>
  <si>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</si>
  <si>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</si>
  <si>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</si>
  <si>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</si>
  <si>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</si>
  <si>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</si>
  <si>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</si>
  <si>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</si>
  <si>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</si>
  <si>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</si>
  <si>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</si>
  <si>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</si>
  <si>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</si>
  <si>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</si>
  <si>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</si>
  <si>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</si>
  <si>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</si>
  <si>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</si>
  <si>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</si>
  <si>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</si>
  <si>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</si>
  <si>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</si>
  <si>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</si>
  <si>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</si>
  <si>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</si>
  <si>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</si>
  <si>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</si>
  <si>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</si>
  <si>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</si>
  <si>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</si>
  <si>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</si>
  <si>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</si>
  <si>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</si>
  <si>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</si>
  <si>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</si>
  <si>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</si>
  <si>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</si>
  <si>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</si>
  <si>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</si>
  <si>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</si>
  <si>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</si>
  <si>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</si>
  <si>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</si>
  <si>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</si>
  <si>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</si>
  <si>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</si>
  <si>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</si>
  <si>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</si>
  <si>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</si>
  <si>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</si>
  <si>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</si>
  <si>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</si>
  <si>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</si>
  <si>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</si>
  <si>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</si>
  <si>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</si>
  <si>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</si>
  <si>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</si>
  <si>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</si>
  <si>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</si>
  <si>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</si>
  <si>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</si>
  <si>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</si>
  <si>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</si>
  <si>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</si>
  <si>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</si>
  <si>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</si>
  <si>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</si>
  <si>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</si>
  <si>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</si>
  <si>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</si>
  <si>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</si>
  <si>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</si>
  <si>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</si>
  <si>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</si>
  <si>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</si>
  <si>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</si>
  <si>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</si>
  <si>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</si>
  <si>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</si>
  <si>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</si>
  <si>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</si>
  <si>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</si>
  <si>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</si>
  <si>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</si>
  <si>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</si>
  <si>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</si>
  <si>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</si>
  <si>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</si>
  <si>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</si>
  <si>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</si>
  <si>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</si>
  <si>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</si>
  <si>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</si>
  <si>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</si>
  <si>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</si>
  <si>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</si>
  <si>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</si>
  <si>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</si>
  <si>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</si>
  <si>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</si>
  <si>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</si>
  <si>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</si>
  <si>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</si>
  <si>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</si>
  <si>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</si>
  <si>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</si>
  <si>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</si>
  <si>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</si>
  <si>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</si>
  <si>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</si>
  <si>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</si>
  <si>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</si>
  <si>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</si>
  <si>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</si>
  <si>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</si>
  <si>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</si>
  <si>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</si>
  <si>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</si>
  <si>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</si>
  <si>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</si>
  <si>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</si>
  <si>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</si>
  <si>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</si>
  <si>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</si>
  <si>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</si>
  <si>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</si>
  <si>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</si>
  <si>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</si>
  <si>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</si>
  <si>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</si>
  <si>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</si>
  <si>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</si>
  <si>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</si>
  <si>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</si>
  <si>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</si>
  <si>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</si>
  <si>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</si>
  <si>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</si>
  <si>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</si>
  <si>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</si>
  <si>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</si>
  <si>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</si>
  <si>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</si>
  <si>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</si>
  <si>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</si>
  <si>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</si>
  <si>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</si>
  <si>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</si>
  <si>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</si>
  <si>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</si>
  <si>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</si>
  <si>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</si>
  <si>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</si>
  <si>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</si>
  <si>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</si>
  <si>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</si>
  <si>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</si>
  <si>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</si>
  <si>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</si>
  <si>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</si>
  <si>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</si>
  <si>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</si>
  <si>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</si>
  <si>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</si>
  <si>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</si>
  <si>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</si>
  <si>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</si>
  <si>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</si>
  <si>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</si>
  <si>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</si>
  <si>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</si>
  <si>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</si>
  <si>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</si>
  <si>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</si>
  <si>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</si>
  <si>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</si>
  <si>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</si>
  <si>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</si>
  <si>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</si>
  <si>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</si>
  <si>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</si>
  <si>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</si>
  <si>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</si>
  <si>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</si>
  <si>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</si>
  <si>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</si>
  <si>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</si>
  <si>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</si>
  <si>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</si>
  <si>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</si>
  <si>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</si>
  <si>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</si>
  <si>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</si>
  <si>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</si>
  <si>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</si>
  <si>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</si>
  <si>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</si>
  <si>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</si>
  <si>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</si>
  <si>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</si>
  <si>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</si>
  <si>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</si>
  <si>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</si>
  <si>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</si>
  <si>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</si>
  <si>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</si>
  <si>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</si>
  <si>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</si>
  <si>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</si>
  <si>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</si>
  <si>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</si>
  <si>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</si>
  <si>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</si>
  <si>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</si>
  <si>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</si>
  <si>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</si>
  <si>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</si>
  <si>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</si>
  <si>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</si>
  <si>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</si>
  <si>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</si>
  <si>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</si>
  <si>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</si>
  <si>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</si>
  <si>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</si>
  <si>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</si>
  <si>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</si>
  <si>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</si>
  <si>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</si>
  <si>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</si>
  <si>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</si>
  <si>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</si>
  <si>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</si>
  <si>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</si>
  <si>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</si>
  <si>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</si>
  <si>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</si>
  <si>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</si>
  <si>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</si>
  <si>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</si>
  <si>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</si>
  <si>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</si>
  <si>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</si>
  <si>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</si>
  <si>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</si>
  <si>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</si>
  <si>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</si>
  <si>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</si>
  <si>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</si>
  <si>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</si>
  <si>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</si>
  <si>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</si>
  <si>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</si>
  <si>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</si>
  <si>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</si>
  <si>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</si>
  <si>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</si>
  <si>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</si>
  <si>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</si>
  <si>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</si>
  <si>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</si>
  <si>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</si>
  <si>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</si>
  <si>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</si>
  <si>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</si>
  <si>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</si>
  <si>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</si>
  <si>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</si>
  <si>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</si>
  <si>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</si>
  <si>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</si>
  <si>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</si>
  <si>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</si>
  <si>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</si>
  <si>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</si>
  <si>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</si>
  <si>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</si>
  <si>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</si>
  <si>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</si>
  <si>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</si>
  <si>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</si>
  <si>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</si>
  <si>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</si>
  <si>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</si>
  <si>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</si>
  <si>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</si>
  <si>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</si>
  <si>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</si>
  <si>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</si>
  <si>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</si>
  <si>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</si>
  <si>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</si>
  <si>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</si>
  <si>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</si>
  <si>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</si>
  <si>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</si>
  <si>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</si>
  <si>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</si>
  <si>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</si>
  <si>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</si>
  <si>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</si>
  <si>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</si>
  <si>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</si>
  <si>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</si>
  <si>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</si>
  <si>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</si>
  <si>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</si>
  <si>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</si>
  <si>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</si>
  <si>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</si>
  <si>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</si>
  <si>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</si>
  <si>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</si>
  <si>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</si>
  <si>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</si>
  <si>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</si>
  <si>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</si>
  <si>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</si>
  <si>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</si>
  <si>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</si>
  <si>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</si>
  <si>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</si>
  <si>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</si>
  <si>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</si>
  <si>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</si>
  <si>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</si>
  <si>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</si>
  <si>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</si>
  <si>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</si>
  <si>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</si>
  <si>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</si>
  <si>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</si>
  <si>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</si>
  <si>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</si>
  <si>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</si>
  <si>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</si>
  <si>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</si>
  <si>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</si>
  <si>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</si>
  <si>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</si>
  <si>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</si>
  <si>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</si>
  <si>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</si>
  <si>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</si>
  <si>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</si>
  <si>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</si>
  <si>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</si>
  <si>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</si>
  <si>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</si>
  <si>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</si>
  <si>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</si>
  <si>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</si>
  <si>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</si>
  <si>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</si>
  <si>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</si>
  <si>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</si>
  <si>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</si>
  <si>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</si>
  <si>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</si>
  <si>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</si>
  <si>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</si>
  <si>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</si>
  <si>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</si>
  <si>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</si>
  <si>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</si>
  <si>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</si>
  <si>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</si>
  <si>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</si>
  <si>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</si>
  <si>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</si>
  <si>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</si>
  <si>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</si>
  <si>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</si>
  <si>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</si>
  <si>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</si>
  <si>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</si>
  <si>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</si>
  <si>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</si>
  <si>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</si>
  <si>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</si>
  <si>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</si>
  <si>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</si>
  <si>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</si>
  <si>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</si>
  <si>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</si>
  <si>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</si>
  <si>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</si>
  <si>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</si>
  <si>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</si>
  <si>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</si>
  <si>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</si>
  <si>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</si>
  <si>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</si>
  <si>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</si>
  <si>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</si>
  <si>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</si>
  <si>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</si>
  <si>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</si>
  <si>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</si>
  <si>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</si>
  <si>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</si>
  <si>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</si>
  <si>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</si>
  <si>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</si>
  <si>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</si>
  <si>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</si>
  <si>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</si>
  <si>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</si>
  <si>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</si>
  <si>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</si>
  <si>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</si>
  <si>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</si>
  <si>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</si>
  <si>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</si>
  <si>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</si>
  <si>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</si>
  <si>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</si>
  <si>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</si>
  <si>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</si>
  <si>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</si>
  <si>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</si>
  <si>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</si>
  <si>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</si>
  <si>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</si>
  <si>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</si>
  <si>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</si>
  <si>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</si>
  <si>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</si>
  <si>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</si>
  <si>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</si>
  <si>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</si>
  <si>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</si>
  <si>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</si>
  <si>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</si>
  <si>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</si>
  <si>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</si>
  <si>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</si>
  <si>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</si>
  <si>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</si>
  <si>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</si>
  <si>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</si>
  <si>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</si>
  <si>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</si>
  <si>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</si>
  <si>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</si>
  <si>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</si>
  <si>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</si>
  <si>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</si>
  <si>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</si>
  <si>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Errol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</si>
</sst>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2">
    <xf numFmtId="0" fontId="0" fillId="0" borderId="0"/>
    <xf numFmtId="0" fontId="1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40" fontId="2" fillId="0" borderId="0" xfId="1" applyNumberFormat="1" applyFont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2">
    <cellStyle name="Normal" xfId="0" builtinId="0"/>
    <cellStyle name="Normal 2" xfId="1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90" zoomScaleNormal="9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I668" sqref="I668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 x14ac:dyDescent="0.2">
      <c r="A2" s="176" t="s">
        <v>909</v>
      </c>
      <c r="B2" s="21">
        <v>171</v>
      </c>
      <c r="C2" s="21">
        <v>171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 x14ac:dyDescent="0.15">
      <c r="A4" s="1" t="s">
        <v>279</v>
      </c>
      <c r="K4" s="13"/>
      <c r="L4" s="13"/>
    </row>
    <row r="5" spans="1:13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 x14ac:dyDescent="0.15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15555.67</v>
      </c>
      <c r="G9" s="18"/>
      <c r="H9" s="18"/>
      <c r="I9" s="18"/>
      <c r="J9" s="67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74549.7</v>
      </c>
      <c r="G10" s="18"/>
      <c r="H10" s="18"/>
      <c r="I10" s="18"/>
      <c r="J10" s="67">
        <f>SUM(I439)</f>
        <v>163784.22999999998</v>
      </c>
      <c r="K10" s="24" t="s">
        <v>289</v>
      </c>
      <c r="L10" s="24" t="s">
        <v>289</v>
      </c>
      <c r="M10" s="8"/>
    </row>
    <row r="11" spans="1:13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4729.12</v>
      </c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f>1427.76+3359.6</f>
        <v>4787.3599999999997</v>
      </c>
      <c r="G13" s="18">
        <v>732.24</v>
      </c>
      <c r="H13" s="18">
        <v>9623.23</v>
      </c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99621.849999999991</v>
      </c>
      <c r="G19" s="41">
        <f>SUM(G9:G18)</f>
        <v>732.24</v>
      </c>
      <c r="H19" s="41">
        <f>SUM(H9:H18)</f>
        <v>9623.23</v>
      </c>
      <c r="I19" s="41">
        <f>SUM(I9:I18)</f>
        <v>0</v>
      </c>
      <c r="J19" s="41">
        <f>SUM(J9:J18)</f>
        <v>163784.22999999998</v>
      </c>
      <c r="K19" s="45" t="s">
        <v>289</v>
      </c>
      <c r="L19" s="45" t="s">
        <v>289</v>
      </c>
      <c r="M19" s="8"/>
    </row>
    <row r="20" spans="1:13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723.97</v>
      </c>
      <c r="H22" s="18">
        <v>4005.15</v>
      </c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>
        <v>415.02</v>
      </c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11150.58</v>
      </c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>
        <v>8.27</v>
      </c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34344.57</v>
      </c>
      <c r="G30" s="18"/>
      <c r="H30" s="18">
        <v>5203.0600000000004</v>
      </c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45495.15</v>
      </c>
      <c r="G32" s="41">
        <f>SUM(G22:G31)</f>
        <v>732.24</v>
      </c>
      <c r="H32" s="41">
        <f>SUM(H22:H31)</f>
        <v>9623.23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 x14ac:dyDescent="0.15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 x14ac:dyDescent="0.15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20466.82</v>
      </c>
      <c r="K37" s="24" t="s">
        <v>289</v>
      </c>
      <c r="L37" s="24" t="s">
        <v>289</v>
      </c>
      <c r="M37" s="8"/>
    </row>
    <row r="38" spans="1:13" s="3" customFormat="1" ht="12" customHeight="1" x14ac:dyDescent="0.15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 x14ac:dyDescent="0.15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 x14ac:dyDescent="0.15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 x14ac:dyDescent="0.15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 x14ac:dyDescent="0.15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 x14ac:dyDescent="0.15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 x14ac:dyDescent="0.15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>
        <v>20000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 x14ac:dyDescent="0.15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 x14ac:dyDescent="0.15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 x14ac:dyDescent="0.15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143317.41</v>
      </c>
      <c r="K47" s="24" t="s">
        <v>289</v>
      </c>
      <c r="L47" s="24" t="s">
        <v>289</v>
      </c>
      <c r="M47" s="8"/>
    </row>
    <row r="48" spans="1:13" s="3" customFormat="1" ht="12" customHeight="1" x14ac:dyDescent="0.15">
      <c r="A48" s="1" t="s">
        <v>886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 x14ac:dyDescent="0.2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34126.699999999997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54126.7</v>
      </c>
      <c r="G50" s="41">
        <f>SUM(G35:G49)</f>
        <v>0</v>
      </c>
      <c r="H50" s="41">
        <f>SUM(H35:H49)</f>
        <v>0</v>
      </c>
      <c r="I50" s="41">
        <f>SUM(I35:I49)</f>
        <v>0</v>
      </c>
      <c r="J50" s="41">
        <f>SUM(J35:J49)</f>
        <v>163784.23000000001</v>
      </c>
      <c r="K50" s="45" t="s">
        <v>289</v>
      </c>
      <c r="L50" s="45" t="s">
        <v>289</v>
      </c>
    </row>
    <row r="51" spans="1:13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99621.85</v>
      </c>
      <c r="G51" s="41">
        <f>G50+G32</f>
        <v>732.24</v>
      </c>
      <c r="H51" s="41">
        <f>H50+H32</f>
        <v>9623.23</v>
      </c>
      <c r="I51" s="41">
        <f>I50+I32</f>
        <v>0</v>
      </c>
      <c r="J51" s="41">
        <f>J50+J32</f>
        <v>163784.23000000001</v>
      </c>
      <c r="K51" s="45" t="s">
        <v>289</v>
      </c>
      <c r="L51" s="45" t="s">
        <v>289</v>
      </c>
      <c r="M51" s="8"/>
    </row>
    <row r="52" spans="1:13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269372</v>
      </c>
      <c r="G56" s="18"/>
      <c r="H56" s="18">
        <f>H51-H19</f>
        <v>0</v>
      </c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269372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56607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56607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53.19</v>
      </c>
      <c r="G95" s="18"/>
      <c r="H95" s="18"/>
      <c r="I95" s="18"/>
      <c r="J95" s="18">
        <v>74.98</v>
      </c>
      <c r="K95" s="24" t="s">
        <v>289</v>
      </c>
      <c r="L95" s="24" t="s">
        <v>289</v>
      </c>
      <c r="M95" s="8"/>
    </row>
    <row r="96" spans="1:13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7265.8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>
        <v>237.08</v>
      </c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>
        <v>983.66</v>
      </c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20.21</v>
      </c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1057.06</v>
      </c>
      <c r="G110" s="41">
        <f>SUM(G95:G109)</f>
        <v>7265.8</v>
      </c>
      <c r="H110" s="41">
        <f>SUM(H95:H109)</f>
        <v>237.08</v>
      </c>
      <c r="I110" s="41">
        <f>SUM(I95:I109)</f>
        <v>0</v>
      </c>
      <c r="J110" s="41">
        <f>SUM(J95:J109)</f>
        <v>74.98</v>
      </c>
      <c r="K110" s="45" t="s">
        <v>289</v>
      </c>
      <c r="L110" s="45" t="s">
        <v>289</v>
      </c>
    </row>
    <row r="111" spans="1:13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327036.06</v>
      </c>
      <c r="G111" s="41">
        <f>G59+G110</f>
        <v>7265.8</v>
      </c>
      <c r="H111" s="41">
        <f>H59+H78+H93+H110</f>
        <v>237.08</v>
      </c>
      <c r="I111" s="41">
        <f>I59+I110</f>
        <v>0</v>
      </c>
      <c r="J111" s="41">
        <f>J59+J110</f>
        <v>74.98</v>
      </c>
      <c r="K111" s="45" t="s">
        <v>289</v>
      </c>
      <c r="L111" s="45" t="s">
        <v>289</v>
      </c>
      <c r="M111" s="8"/>
    </row>
    <row r="112" spans="1:13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14413.51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189120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 x14ac:dyDescent="0.15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12.49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>
        <v>273.58999999999997</v>
      </c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203819.59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/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152.35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0</v>
      </c>
      <c r="G135" s="41">
        <f>SUM(G122:G134)</f>
        <v>152.35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203819.59</v>
      </c>
      <c r="G139" s="41">
        <f>G120+SUM(G135:G136)</f>
        <v>152.35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>
        <v>7570.53</v>
      </c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/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6625.05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3588.83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7379.18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5722.72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>
        <v>3374.34</v>
      </c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5722.72</v>
      </c>
      <c r="G161" s="41">
        <f>SUM(G149:G160)</f>
        <v>6963.17</v>
      </c>
      <c r="H161" s="41">
        <f>SUM(H149:H160)</f>
        <v>21574.760000000002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5722.72</v>
      </c>
      <c r="G168" s="41">
        <f>G146+G161+SUM(G162:G167)</f>
        <v>6963.17</v>
      </c>
      <c r="H168" s="41">
        <f>H146+H161+SUM(H162:H167)</f>
        <v>21574.760000000002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9401.56</v>
      </c>
      <c r="H178" s="18"/>
      <c r="I178" s="18"/>
      <c r="J178" s="18"/>
      <c r="K178" s="24" t="s">
        <v>289</v>
      </c>
      <c r="L178" s="24" t="s">
        <v>289</v>
      </c>
      <c r="M178" s="8"/>
    </row>
    <row r="179" spans="1:13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9401.56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</row>
    <row r="183" spans="1:13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9401.56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</row>
    <row r="192" spans="1:13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536578.37</v>
      </c>
      <c r="G192" s="47">
        <f>G111+G139+G168+G191</f>
        <v>23782.879999999997</v>
      </c>
      <c r="H192" s="47">
        <f>H111+H139+H168+H191</f>
        <v>21811.840000000004</v>
      </c>
      <c r="I192" s="47">
        <f>I111+I139+I168+I191</f>
        <v>0</v>
      </c>
      <c r="J192" s="47">
        <f>J111+J139+J191</f>
        <v>74.98</v>
      </c>
      <c r="K192" s="45" t="s">
        <v>289</v>
      </c>
      <c r="L192" s="45" t="s">
        <v>289</v>
      </c>
      <c r="M192" s="8"/>
    </row>
    <row r="193" spans="1:13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105942.24</v>
      </c>
      <c r="G196" s="18">
        <v>54818.93</v>
      </c>
      <c r="H196" s="18">
        <v>1648.81</v>
      </c>
      <c r="I196" s="18">
        <v>5459.82</v>
      </c>
      <c r="J196" s="18">
        <v>207</v>
      </c>
      <c r="K196" s="18">
        <v>50</v>
      </c>
      <c r="L196" s="19">
        <f>SUM(F196:K196)</f>
        <v>168126.80000000002</v>
      </c>
      <c r="M196" s="8"/>
    </row>
    <row r="197" spans="1:13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15786.82</v>
      </c>
      <c r="G197" s="18">
        <v>1879.69</v>
      </c>
      <c r="H197" s="18">
        <f>42.47+2439.42</f>
        <v>2481.89</v>
      </c>
      <c r="I197" s="18">
        <v>16.52</v>
      </c>
      <c r="J197" s="18"/>
      <c r="K197" s="18"/>
      <c r="L197" s="19">
        <f>SUM(F197:K197)</f>
        <v>20164.919999999998</v>
      </c>
      <c r="M197" s="8"/>
    </row>
    <row r="198" spans="1:13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568.79999999999995</v>
      </c>
      <c r="G199" s="18">
        <v>48.26</v>
      </c>
      <c r="H199" s="18">
        <v>485.76</v>
      </c>
      <c r="I199" s="18"/>
      <c r="J199" s="18"/>
      <c r="K199" s="18"/>
      <c r="L199" s="19">
        <f>SUM(F199:K199)</f>
        <v>1102.82</v>
      </c>
      <c r="M199" s="8"/>
    </row>
    <row r="200" spans="1:13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9184.32</v>
      </c>
      <c r="G201" s="18">
        <v>3900.05</v>
      </c>
      <c r="H201" s="18">
        <v>23574.27</v>
      </c>
      <c r="I201" s="18">
        <v>290.64999999999998</v>
      </c>
      <c r="J201" s="18"/>
      <c r="K201" s="18"/>
      <c r="L201" s="19">
        <f t="shared" ref="L201:L207" si="0">SUM(F201:K201)</f>
        <v>36949.29</v>
      </c>
      <c r="M201" s="8"/>
    </row>
    <row r="202" spans="1:13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1322.47</v>
      </c>
      <c r="G202" s="18">
        <v>165.97</v>
      </c>
      <c r="H202" s="18"/>
      <c r="I202" s="18">
        <v>887.57</v>
      </c>
      <c r="J202" s="18"/>
      <c r="K202" s="18"/>
      <c r="L202" s="19">
        <f t="shared" si="0"/>
        <v>2376.0100000000002</v>
      </c>
      <c r="M202" s="8"/>
    </row>
    <row r="203" spans="1:13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f>1300*0.879</f>
        <v>1142.7</v>
      </c>
      <c r="G203" s="18">
        <f>104.71*0.879</f>
        <v>92.040089999999992</v>
      </c>
      <c r="H203" s="18">
        <f>(920.4+3850+52400)*0.879</f>
        <v>50252.781600000002</v>
      </c>
      <c r="I203" s="18">
        <f>247.22*0.879</f>
        <v>217.30637999999999</v>
      </c>
      <c r="J203" s="18"/>
      <c r="K203" s="18">
        <f>1467.24*0.879</f>
        <v>1289.7039600000001</v>
      </c>
      <c r="L203" s="19">
        <f t="shared" si="0"/>
        <v>52994.532030000002</v>
      </c>
      <c r="M203" s="8"/>
    </row>
    <row r="204" spans="1:13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31448.82</v>
      </c>
      <c r="G204" s="18">
        <v>13205.43</v>
      </c>
      <c r="H204" s="18">
        <v>8085.97</v>
      </c>
      <c r="I204" s="18">
        <v>518.01</v>
      </c>
      <c r="J204" s="18"/>
      <c r="K204" s="18">
        <v>739</v>
      </c>
      <c r="L204" s="19">
        <f t="shared" si="0"/>
        <v>53997.23</v>
      </c>
      <c r="M204" s="8"/>
    </row>
    <row r="205" spans="1:13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</row>
    <row r="206" spans="1:13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9364.8700000000008</v>
      </c>
      <c r="G206" s="18">
        <v>1037.8900000000001</v>
      </c>
      <c r="H206" s="18">
        <v>7956.57</v>
      </c>
      <c r="I206" s="18">
        <v>11099.38</v>
      </c>
      <c r="J206" s="18"/>
      <c r="K206" s="18"/>
      <c r="L206" s="19">
        <f t="shared" si="0"/>
        <v>29458.71</v>
      </c>
      <c r="M206" s="8"/>
    </row>
    <row r="207" spans="1:13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f>(19000*0.879)+19793</f>
        <v>36494</v>
      </c>
      <c r="I207" s="18"/>
      <c r="J207" s="18"/>
      <c r="K207" s="18"/>
      <c r="L207" s="19">
        <f t="shared" si="0"/>
        <v>36494</v>
      </c>
      <c r="M207" s="8"/>
    </row>
    <row r="208" spans="1:13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174761.04</v>
      </c>
      <c r="G210" s="41">
        <f t="shared" si="1"/>
        <v>75148.260090000011</v>
      </c>
      <c r="H210" s="41">
        <f t="shared" si="1"/>
        <v>130980.05160000001</v>
      </c>
      <c r="I210" s="41">
        <f t="shared" si="1"/>
        <v>18489.256379999999</v>
      </c>
      <c r="J210" s="41">
        <f t="shared" si="1"/>
        <v>207</v>
      </c>
      <c r="K210" s="41">
        <f t="shared" si="1"/>
        <v>2078.7039599999998</v>
      </c>
      <c r="L210" s="41">
        <f t="shared" si="1"/>
        <v>401664.31203000009</v>
      </c>
      <c r="M210" s="8"/>
    </row>
    <row r="211" spans="1:13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</row>
    <row r="215" spans="1:13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</row>
    <row r="216" spans="1:13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</row>
    <row r="218" spans="1:13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</row>
    <row r="220" spans="1:13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</row>
    <row r="221" spans="1:13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</row>
    <row r="222" spans="1:13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</row>
    <row r="223" spans="1:13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</row>
    <row r="225" spans="1:13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</row>
    <row r="226" spans="1:13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</row>
    <row r="229" spans="1:13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v>16167.91</v>
      </c>
      <c r="I232" s="18"/>
      <c r="J232" s="18"/>
      <c r="K232" s="18"/>
      <c r="L232" s="19">
        <f>SUM(F232:K232)</f>
        <v>16167.91</v>
      </c>
      <c r="M232" s="8"/>
    </row>
    <row r="233" spans="1:13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>
        <f>5548.1+12421.83</f>
        <v>17969.93</v>
      </c>
      <c r="I233" s="18"/>
      <c r="J233" s="18"/>
      <c r="K233" s="18"/>
      <c r="L233" s="19">
        <f>SUM(F233:K233)</f>
        <v>17969.93</v>
      </c>
      <c r="M233" s="8"/>
    </row>
    <row r="234" spans="1:13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</row>
    <row r="235" spans="1:13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>
        <v>15029.42</v>
      </c>
      <c r="I235" s="18"/>
      <c r="J235" s="18"/>
      <c r="K235" s="18"/>
      <c r="L235" s="19">
        <f>SUM(F235:K235)</f>
        <v>15029.42</v>
      </c>
      <c r="M235" s="8"/>
    </row>
    <row r="236" spans="1:13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</row>
    <row r="238" spans="1:13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</row>
    <row r="239" spans="1:13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f>1300*0.121</f>
        <v>157.29999999999998</v>
      </c>
      <c r="G239" s="18">
        <f>104.71*0.121</f>
        <v>12.669909999999998</v>
      </c>
      <c r="H239" s="18">
        <f>(920.4+3850+52400)*0.121</f>
        <v>6917.6184000000003</v>
      </c>
      <c r="I239" s="18">
        <f>247.22*0.121</f>
        <v>29.913619999999998</v>
      </c>
      <c r="J239" s="18"/>
      <c r="K239" s="18">
        <f>1467.24*0.121</f>
        <v>177.53603999999999</v>
      </c>
      <c r="L239" s="19">
        <f t="shared" si="4"/>
        <v>7295.0379700000003</v>
      </c>
      <c r="M239" s="8"/>
    </row>
    <row r="240" spans="1:13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</row>
    <row r="241" spans="1:13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</row>
    <row r="243" spans="1:13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f>(19000*0.121)+12626.04</f>
        <v>14925.04</v>
      </c>
      <c r="I243" s="18"/>
      <c r="J243" s="18"/>
      <c r="K243" s="18"/>
      <c r="L243" s="19">
        <f t="shared" si="4"/>
        <v>14925.04</v>
      </c>
      <c r="M243" s="8"/>
    </row>
    <row r="244" spans="1:13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157.29999999999998</v>
      </c>
      <c r="G246" s="41">
        <f t="shared" si="5"/>
        <v>12.669909999999998</v>
      </c>
      <c r="H246" s="41">
        <f t="shared" si="5"/>
        <v>71009.918399999995</v>
      </c>
      <c r="I246" s="41">
        <f t="shared" si="5"/>
        <v>29.913619999999998</v>
      </c>
      <c r="J246" s="41">
        <f t="shared" si="5"/>
        <v>0</v>
      </c>
      <c r="K246" s="41">
        <f t="shared" si="5"/>
        <v>177.53603999999999</v>
      </c>
      <c r="L246" s="41">
        <f t="shared" si="5"/>
        <v>71387.337969999993</v>
      </c>
      <c r="M246" s="8"/>
    </row>
    <row r="247" spans="1:13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</row>
    <row r="256" spans="1:13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174918.34</v>
      </c>
      <c r="G256" s="41">
        <f t="shared" si="8"/>
        <v>75160.930000000008</v>
      </c>
      <c r="H256" s="41">
        <f t="shared" si="8"/>
        <v>201989.97</v>
      </c>
      <c r="I256" s="41">
        <f t="shared" si="8"/>
        <v>18519.169999999998</v>
      </c>
      <c r="J256" s="41">
        <f t="shared" si="8"/>
        <v>207</v>
      </c>
      <c r="K256" s="41">
        <f t="shared" si="8"/>
        <v>2256.2399999999998</v>
      </c>
      <c r="L256" s="41">
        <f t="shared" si="8"/>
        <v>473051.65000000008</v>
      </c>
      <c r="M256" s="8"/>
    </row>
    <row r="257" spans="1:13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/>
      <c r="L259" s="19">
        <f>SUM(F259:K259)</f>
        <v>0</v>
      </c>
      <c r="M259" s="8"/>
    </row>
    <row r="260" spans="1:13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</row>
    <row r="261" spans="1:13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9401.56</v>
      </c>
      <c r="L262" s="19">
        <f>SUM(F262:K262)</f>
        <v>9401.56</v>
      </c>
    </row>
    <row r="263" spans="1:13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</row>
    <row r="266" spans="1:13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9401.56</v>
      </c>
      <c r="L269" s="41">
        <f t="shared" si="9"/>
        <v>9401.56</v>
      </c>
    </row>
    <row r="270" spans="1:13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174918.34</v>
      </c>
      <c r="G270" s="42">
        <f t="shared" si="11"/>
        <v>75160.930000000008</v>
      </c>
      <c r="H270" s="42">
        <f t="shared" si="11"/>
        <v>201989.97</v>
      </c>
      <c r="I270" s="42">
        <f t="shared" si="11"/>
        <v>18519.169999999998</v>
      </c>
      <c r="J270" s="42">
        <f t="shared" si="11"/>
        <v>207</v>
      </c>
      <c r="K270" s="42">
        <f t="shared" si="11"/>
        <v>11657.8</v>
      </c>
      <c r="L270" s="42">
        <f t="shared" si="11"/>
        <v>482453.21000000008</v>
      </c>
      <c r="M270" s="8"/>
    </row>
    <row r="271" spans="1:13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/>
      <c r="G275" s="18"/>
      <c r="H275" s="18">
        <v>4008.58</v>
      </c>
      <c r="I275" s="18">
        <v>538.29</v>
      </c>
      <c r="J275" s="18"/>
      <c r="K275" s="18"/>
      <c r="L275" s="19">
        <f>SUM(F275:K275)</f>
        <v>4546.87</v>
      </c>
      <c r="M275" s="8"/>
    </row>
    <row r="276" spans="1:13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6512.58</v>
      </c>
      <c r="G276" s="18"/>
      <c r="H276" s="18"/>
      <c r="I276" s="18">
        <v>28.5</v>
      </c>
      <c r="J276" s="18"/>
      <c r="K276" s="18"/>
      <c r="L276" s="19">
        <f>SUM(F276:K276)</f>
        <v>6541.08</v>
      </c>
      <c r="M276" s="8"/>
    </row>
    <row r="277" spans="1:13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</row>
    <row r="279" spans="1:13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462.08</v>
      </c>
      <c r="G280" s="18"/>
      <c r="H280" s="18"/>
      <c r="I280" s="18"/>
      <c r="J280" s="18"/>
      <c r="K280" s="18"/>
      <c r="L280" s="19">
        <f t="shared" ref="L280:L286" si="12">SUM(F280:K280)</f>
        <v>462.08</v>
      </c>
      <c r="M280" s="8"/>
    </row>
    <row r="281" spans="1:13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1329.03</v>
      </c>
      <c r="G281" s="18">
        <v>228.28</v>
      </c>
      <c r="H281" s="18">
        <v>5154.3</v>
      </c>
      <c r="I281" s="18"/>
      <c r="J281" s="18">
        <v>1288.55</v>
      </c>
      <c r="K281" s="18">
        <v>215</v>
      </c>
      <c r="L281" s="19">
        <f t="shared" si="12"/>
        <v>8215.16</v>
      </c>
      <c r="M281" s="8"/>
    </row>
    <row r="282" spans="1:13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</row>
    <row r="283" spans="1:13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>
        <v>688.22</v>
      </c>
      <c r="I286" s="18"/>
      <c r="J286" s="18"/>
      <c r="K286" s="18"/>
      <c r="L286" s="19">
        <f t="shared" si="12"/>
        <v>688.22</v>
      </c>
      <c r="M286" s="8"/>
    </row>
    <row r="287" spans="1:13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8303.69</v>
      </c>
      <c r="G289" s="42">
        <f t="shared" si="13"/>
        <v>228.28</v>
      </c>
      <c r="H289" s="42">
        <f t="shared" si="13"/>
        <v>9851.1</v>
      </c>
      <c r="I289" s="42">
        <f t="shared" si="13"/>
        <v>566.79</v>
      </c>
      <c r="J289" s="42">
        <f t="shared" si="13"/>
        <v>1288.55</v>
      </c>
      <c r="K289" s="42">
        <f t="shared" si="13"/>
        <v>215</v>
      </c>
      <c r="L289" s="41">
        <f t="shared" si="13"/>
        <v>20453.410000000003</v>
      </c>
      <c r="M289" s="8"/>
    </row>
    <row r="290" spans="1:13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</row>
    <row r="314" spans="1:13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</row>
    <row r="315" spans="1:13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</row>
    <row r="328" spans="1:13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8303.69</v>
      </c>
      <c r="G337" s="41">
        <f t="shared" si="20"/>
        <v>228.28</v>
      </c>
      <c r="H337" s="41">
        <f t="shared" si="20"/>
        <v>9851.1</v>
      </c>
      <c r="I337" s="41">
        <f t="shared" si="20"/>
        <v>566.79</v>
      </c>
      <c r="J337" s="41">
        <f t="shared" si="20"/>
        <v>1288.55</v>
      </c>
      <c r="K337" s="41">
        <f t="shared" si="20"/>
        <v>215</v>
      </c>
      <c r="L337" s="41">
        <f t="shared" si="20"/>
        <v>20453.410000000003</v>
      </c>
      <c r="M337" s="8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>
        <v>1358.43</v>
      </c>
      <c r="L349" s="19">
        <f t="shared" si="21"/>
        <v>1358.43</v>
      </c>
      <c r="M349" s="8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1358.43</v>
      </c>
      <c r="L350" s="41">
        <f>SUM(L340:L349)</f>
        <v>1358.43</v>
      </c>
      <c r="M350" s="8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8303.69</v>
      </c>
      <c r="G351" s="41">
        <f>G337</f>
        <v>228.28</v>
      </c>
      <c r="H351" s="41">
        <f>H337</f>
        <v>9851.1</v>
      </c>
      <c r="I351" s="41">
        <f>I337</f>
        <v>566.79</v>
      </c>
      <c r="J351" s="41">
        <f>J337</f>
        <v>1288.55</v>
      </c>
      <c r="K351" s="47">
        <f>K337+K350</f>
        <v>1573.43</v>
      </c>
      <c r="L351" s="41">
        <f>L337+L350</f>
        <v>21811.840000000004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13525.35</v>
      </c>
      <c r="G357" s="18">
        <v>1605.57</v>
      </c>
      <c r="H357" s="18">
        <v>41.07</v>
      </c>
      <c r="I357" s="18">
        <v>8501.89</v>
      </c>
      <c r="J357" s="18">
        <v>109</v>
      </c>
      <c r="K357" s="18"/>
      <c r="L357" s="13">
        <f>SUM(F357:K357)</f>
        <v>23782.879999999997</v>
      </c>
    </row>
    <row r="358" spans="1:13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</row>
    <row r="360" spans="1:13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13525.35</v>
      </c>
      <c r="G361" s="47">
        <f t="shared" si="22"/>
        <v>1605.57</v>
      </c>
      <c r="H361" s="47">
        <f t="shared" si="22"/>
        <v>41.07</v>
      </c>
      <c r="I361" s="47">
        <f t="shared" si="22"/>
        <v>8501.89</v>
      </c>
      <c r="J361" s="47">
        <f t="shared" si="22"/>
        <v>109</v>
      </c>
      <c r="K361" s="47">
        <f t="shared" si="22"/>
        <v>0</v>
      </c>
      <c r="L361" s="47">
        <f t="shared" si="22"/>
        <v>23782.879999999997</v>
      </c>
      <c r="M361" s="8"/>
    </row>
    <row r="362" spans="1:13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f>3977.82+3374.34</f>
        <v>7352.16</v>
      </c>
      <c r="G366" s="18"/>
      <c r="H366" s="18"/>
      <c r="I366" s="56">
        <f>SUM(F366:H366)</f>
        <v>7352.16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f>665.03+484.7</f>
        <v>1149.73</v>
      </c>
      <c r="G367" s="63"/>
      <c r="H367" s="63"/>
      <c r="I367" s="56">
        <f>SUM(F367:H367)</f>
        <v>1149.73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8501.89</v>
      </c>
      <c r="G368" s="47">
        <f>SUM(G366:G367)</f>
        <v>0</v>
      </c>
      <c r="H368" s="47">
        <f>SUM(H366:H367)</f>
        <v>0</v>
      </c>
      <c r="I368" s="47">
        <f>SUM(I366:I367)</f>
        <v>8501.89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>
        <f>11.98</f>
        <v>11.98</v>
      </c>
      <c r="I388" s="18"/>
      <c r="J388" s="24" t="s">
        <v>289</v>
      </c>
      <c r="K388" s="24" t="s">
        <v>289</v>
      </c>
      <c r="L388" s="56">
        <f t="shared" si="25"/>
        <v>11.98</v>
      </c>
      <c r="M388" s="8"/>
    </row>
    <row r="389" spans="1:13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>
        <f>4.79</f>
        <v>4.79</v>
      </c>
      <c r="I390" s="18"/>
      <c r="J390" s="24" t="s">
        <v>289</v>
      </c>
      <c r="K390" s="24" t="s">
        <v>289</v>
      </c>
      <c r="L390" s="56">
        <f t="shared" si="25"/>
        <v>4.79</v>
      </c>
      <c r="M390" s="8"/>
    </row>
    <row r="391" spans="1:13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16.77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16.77</v>
      </c>
      <c r="M392" s="8"/>
    </row>
    <row r="393" spans="1:13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</row>
    <row r="396" spans="1:13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</row>
    <row r="397" spans="1:13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>
        <v>40.94</v>
      </c>
      <c r="I397" s="18"/>
      <c r="J397" s="24" t="s">
        <v>289</v>
      </c>
      <c r="K397" s="24" t="s">
        <v>289</v>
      </c>
      <c r="L397" s="56">
        <f t="shared" si="26"/>
        <v>40.94</v>
      </c>
      <c r="M397" s="8"/>
    </row>
    <row r="398" spans="1:13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>
        <f>5.96</f>
        <v>5.96</v>
      </c>
      <c r="I398" s="18"/>
      <c r="J398" s="24" t="s">
        <v>289</v>
      </c>
      <c r="K398" s="24" t="s">
        <v>289</v>
      </c>
      <c r="L398" s="56">
        <f t="shared" si="26"/>
        <v>5.96</v>
      </c>
      <c r="M398" s="8"/>
    </row>
    <row r="399" spans="1:13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>
        <v>11.31</v>
      </c>
      <c r="I399" s="18"/>
      <c r="J399" s="24" t="s">
        <v>289</v>
      </c>
      <c r="K399" s="24" t="s">
        <v>289</v>
      </c>
      <c r="L399" s="56">
        <f t="shared" si="26"/>
        <v>11.31</v>
      </c>
      <c r="M399" s="8"/>
    </row>
    <row r="400" spans="1:13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58.21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58.21</v>
      </c>
      <c r="M400" s="8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74.98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74.98</v>
      </c>
      <c r="M407" s="8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>
        <v>2828</v>
      </c>
      <c r="L423" s="56">
        <f t="shared" si="29"/>
        <v>2828</v>
      </c>
      <c r="M423" s="8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>
        <v>1536</v>
      </c>
      <c r="L424" s="56">
        <f t="shared" si="29"/>
        <v>1536</v>
      </c>
      <c r="M424" s="8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>
        <v>200</v>
      </c>
      <c r="L425" s="56">
        <f t="shared" si="29"/>
        <v>200</v>
      </c>
      <c r="M425" s="8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4564</v>
      </c>
      <c r="L426" s="47">
        <f t="shared" si="30"/>
        <v>4564</v>
      </c>
      <c r="M426" s="8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4564</v>
      </c>
      <c r="L433" s="47">
        <f t="shared" si="32"/>
        <v>4564</v>
      </c>
      <c r="M433" s="8"/>
    </row>
    <row r="434" spans="1:13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 x14ac:dyDescent="0.15">
      <c r="A435" s="34" t="s">
        <v>0</v>
      </c>
      <c r="K435" s="56"/>
      <c r="L435" s="13"/>
      <c r="M435" s="8"/>
    </row>
    <row r="436" spans="1:13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>
        <v>36561.86</v>
      </c>
      <c r="G439" s="18">
        <v>127222.37</v>
      </c>
      <c r="H439" s="18"/>
      <c r="I439" s="56">
        <f t="shared" si="33"/>
        <v>163784.22999999998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36561.86</v>
      </c>
      <c r="G445" s="13">
        <f>SUM(G438:G444)</f>
        <v>127222.37</v>
      </c>
      <c r="H445" s="13">
        <f>SUM(H438:H444)</f>
        <v>0</v>
      </c>
      <c r="I445" s="13">
        <f>SUM(I438:I444)</f>
        <v>163784.22999999998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 x14ac:dyDescent="0.15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 x14ac:dyDescent="0.15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 x14ac:dyDescent="0.15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>
        <v>20466.82</v>
      </c>
      <c r="H456" s="18"/>
      <c r="I456" s="56">
        <f t="shared" si="34"/>
        <v>20466.82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 x14ac:dyDescent="0.25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36561.86</v>
      </c>
      <c r="G458" s="18">
        <v>106755.55</v>
      </c>
      <c r="H458" s="18"/>
      <c r="I458" s="56">
        <f t="shared" si="34"/>
        <v>143317.41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36561.86</v>
      </c>
      <c r="G459" s="83">
        <f>SUM(G453:G458)</f>
        <v>127222.37</v>
      </c>
      <c r="H459" s="83">
        <f>SUM(H453:H458)</f>
        <v>0</v>
      </c>
      <c r="I459" s="83">
        <f>SUM(I453:I458)</f>
        <v>163784.23000000001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36561.86</v>
      </c>
      <c r="G460" s="42">
        <f>G451+G459</f>
        <v>127222.37</v>
      </c>
      <c r="H460" s="42">
        <f>H451+H459</f>
        <v>0</v>
      </c>
      <c r="I460" s="42">
        <f>I451+I459</f>
        <v>163784.23000000001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 x14ac:dyDescent="0.2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1.54</v>
      </c>
      <c r="G464" s="18">
        <v>0</v>
      </c>
      <c r="H464" s="18">
        <v>0</v>
      </c>
      <c r="I464" s="18"/>
      <c r="J464" s="18">
        <v>168273.25</v>
      </c>
      <c r="K464" s="24" t="s">
        <v>289</v>
      </c>
      <c r="L464" s="24" t="s">
        <v>289</v>
      </c>
    </row>
    <row r="465" spans="1:12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536578.37</v>
      </c>
      <c r="G467" s="18">
        <v>23782.880000000001</v>
      </c>
      <c r="H467" s="18">
        <v>21811.84</v>
      </c>
      <c r="I467" s="18"/>
      <c r="J467" s="18">
        <v>74.98</v>
      </c>
      <c r="K467" s="24" t="s">
        <v>289</v>
      </c>
      <c r="L467" s="24" t="s">
        <v>289</v>
      </c>
    </row>
    <row r="468" spans="1:12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536578.37</v>
      </c>
      <c r="G469" s="53">
        <f>SUM(G467:G468)</f>
        <v>23782.880000000001</v>
      </c>
      <c r="H469" s="53">
        <f>SUM(H467:H468)</f>
        <v>21811.84</v>
      </c>
      <c r="I469" s="53">
        <f>SUM(I467:I468)</f>
        <v>0</v>
      </c>
      <c r="J469" s="53">
        <f>SUM(J467:J468)</f>
        <v>74.98</v>
      </c>
      <c r="K469" s="24" t="s">
        <v>289</v>
      </c>
      <c r="L469" s="24" t="s">
        <v>289</v>
      </c>
    </row>
    <row r="470" spans="1:12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482453.21</v>
      </c>
      <c r="G471" s="18">
        <v>23782.880000000001</v>
      </c>
      <c r="H471" s="18">
        <v>21811.84</v>
      </c>
      <c r="I471" s="18"/>
      <c r="J471" s="18">
        <v>4564</v>
      </c>
      <c r="K471" s="24" t="s">
        <v>289</v>
      </c>
      <c r="L471" s="24" t="s">
        <v>289</v>
      </c>
    </row>
    <row r="472" spans="1:12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482453.21</v>
      </c>
      <c r="G473" s="53">
        <f>SUM(G471:G472)</f>
        <v>23782.880000000001</v>
      </c>
      <c r="H473" s="53">
        <f>SUM(H471:H472)</f>
        <v>21811.84</v>
      </c>
      <c r="I473" s="53">
        <f>SUM(I471:I472)</f>
        <v>0</v>
      </c>
      <c r="J473" s="53">
        <f>SUM(J471:J472)</f>
        <v>4564</v>
      </c>
      <c r="K473" s="24" t="s">
        <v>289</v>
      </c>
      <c r="L473" s="24" t="s">
        <v>289</v>
      </c>
    </row>
    <row r="474" spans="1:12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 x14ac:dyDescent="0.2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54126.700000000012</v>
      </c>
      <c r="G475" s="53">
        <f>(G464+G469)- G473</f>
        <v>0</v>
      </c>
      <c r="H475" s="53">
        <f>(H464+H469)- H473</f>
        <v>0</v>
      </c>
      <c r="I475" s="53">
        <f>(I464+I469)- I473</f>
        <v>0</v>
      </c>
      <c r="J475" s="53">
        <f>(J464+J469)- J473</f>
        <v>163784.23000000001</v>
      </c>
      <c r="K475" s="24" t="s">
        <v>289</v>
      </c>
      <c r="L475" s="24" t="s">
        <v>289</v>
      </c>
    </row>
    <row r="476" spans="1:12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 x14ac:dyDescent="0.2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</row>
    <row r="495" spans="1:12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</row>
    <row r="497" spans="1:12" s="52" customFormat="1" ht="12" customHeight="1" x14ac:dyDescent="0.2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/>
      <c r="G497" s="205"/>
      <c r="H497" s="205"/>
      <c r="I497" s="205"/>
      <c r="J497" s="205"/>
      <c r="K497" s="206">
        <f t="shared" si="35"/>
        <v>0</v>
      </c>
      <c r="L497" s="207" t="s">
        <v>289</v>
      </c>
    </row>
    <row r="498" spans="1:12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</row>
    <row r="499" spans="1:12" s="52" customFormat="1" ht="12" customHeight="1" thickTop="1" x14ac:dyDescent="0.2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</row>
    <row r="500" spans="1:12" s="52" customFormat="1" ht="12" customHeight="1" x14ac:dyDescent="0.2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/>
      <c r="G500" s="205"/>
      <c r="H500" s="205"/>
      <c r="I500" s="205"/>
      <c r="J500" s="205"/>
      <c r="K500" s="206">
        <f t="shared" si="35"/>
        <v>0</v>
      </c>
      <c r="L500" s="207" t="s">
        <v>289</v>
      </c>
    </row>
    <row r="501" spans="1:12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</row>
    <row r="502" spans="1:12" s="52" customFormat="1" ht="12" customHeight="1" thickTop="1" x14ac:dyDescent="0.2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</row>
    <row r="503" spans="1:12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>
        <v>2305.36</v>
      </c>
      <c r="G506" s="144">
        <v>295.64</v>
      </c>
      <c r="H506" s="144"/>
      <c r="I506" s="144">
        <f>F506+G506</f>
        <v>2601</v>
      </c>
      <c r="J506" s="24" t="s">
        <v>289</v>
      </c>
      <c r="K506" s="24" t="s">
        <v>289</v>
      </c>
      <c r="L506" s="24" t="s">
        <v>289</v>
      </c>
    </row>
    <row r="507" spans="1:12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 x14ac:dyDescent="0.2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271">
        <v>21229</v>
      </c>
      <c r="G511" s="24" t="s">
        <v>289</v>
      </c>
      <c r="H511" s="18">
        <v>19629</v>
      </c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271">
        <v>270123</v>
      </c>
      <c r="G512" s="24" t="s">
        <v>289</v>
      </c>
      <c r="H512" s="18">
        <v>261123</v>
      </c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291352</v>
      </c>
      <c r="G516" s="42">
        <f>SUM(G510:G515)</f>
        <v>0</v>
      </c>
      <c r="H516" s="42">
        <f>SUM(H510:H515)</f>
        <v>280752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22868.2</v>
      </c>
      <c r="G520" s="18">
        <v>1927.39</v>
      </c>
      <c r="H520" s="18">
        <v>2967.65</v>
      </c>
      <c r="I520" s="18">
        <v>28.5</v>
      </c>
      <c r="J520" s="18"/>
      <c r="K520" s="18"/>
      <c r="L520" s="88">
        <f>SUM(F520:K520)</f>
        <v>27791.74</v>
      </c>
    </row>
    <row r="521" spans="1:13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</row>
    <row r="522" spans="1:13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>
        <v>32999.35</v>
      </c>
      <c r="I522" s="18">
        <v>16.52</v>
      </c>
      <c r="J522" s="18"/>
      <c r="K522" s="18"/>
      <c r="L522" s="88">
        <f>SUM(F522:K522)</f>
        <v>33015.869999999995</v>
      </c>
    </row>
    <row r="523" spans="1:13" s="52" customFormat="1" ht="12" customHeight="1" thickTop="1" x14ac:dyDescent="0.2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22868.2</v>
      </c>
      <c r="G523" s="108">
        <f t="shared" ref="G523:L523" si="36">SUM(G520:G522)</f>
        <v>1927.39</v>
      </c>
      <c r="H523" s="108">
        <f t="shared" si="36"/>
        <v>35967</v>
      </c>
      <c r="I523" s="108">
        <f t="shared" si="36"/>
        <v>45.019999999999996</v>
      </c>
      <c r="J523" s="108">
        <f t="shared" si="36"/>
        <v>0</v>
      </c>
      <c r="K523" s="108">
        <f t="shared" si="36"/>
        <v>0</v>
      </c>
      <c r="L523" s="89">
        <f t="shared" si="36"/>
        <v>60807.61</v>
      </c>
    </row>
    <row r="524" spans="1:13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>
        <v>23146.41</v>
      </c>
      <c r="I525" s="18"/>
      <c r="J525" s="18"/>
      <c r="K525" s="18"/>
      <c r="L525" s="88">
        <f>SUM(F525:K525)</f>
        <v>23146.41</v>
      </c>
      <c r="M525" s="8"/>
    </row>
    <row r="526" spans="1:13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23146.41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23146.41</v>
      </c>
      <c r="M528" s="8"/>
    </row>
    <row r="529" spans="1:13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>
        <v>8835.9599999999991</v>
      </c>
      <c r="I530" s="18"/>
      <c r="J530" s="18"/>
      <c r="K530" s="18"/>
      <c r="L530" s="88">
        <f>SUM(F530:K530)</f>
        <v>8835.9599999999991</v>
      </c>
      <c r="M530" s="8"/>
    </row>
    <row r="531" spans="1:13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>
        <v>2017.34</v>
      </c>
      <c r="I532" s="18"/>
      <c r="J532" s="18"/>
      <c r="K532" s="18"/>
      <c r="L532" s="88">
        <f>SUM(F532:K532)</f>
        <v>2017.34</v>
      </c>
      <c r="M532" s="8"/>
    </row>
    <row r="533" spans="1:13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0</v>
      </c>
      <c r="G533" s="89">
        <f t="shared" ref="G533:L533" si="38">SUM(G530:G532)</f>
        <v>0</v>
      </c>
      <c r="H533" s="89">
        <f t="shared" si="38"/>
        <v>10853.3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10853.3</v>
      </c>
      <c r="M533" s="8"/>
    </row>
    <row r="534" spans="1:13" s="3" customFormat="1" ht="12" customHeight="1" x14ac:dyDescent="0.15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</row>
    <row r="539" spans="1:13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f>19793</f>
        <v>19793</v>
      </c>
      <c r="I540" s="18"/>
      <c r="J540" s="18"/>
      <c r="K540" s="18"/>
      <c r="L540" s="88">
        <f>SUM(F540:K540)</f>
        <v>19793</v>
      </c>
      <c r="M540" s="8"/>
    </row>
    <row r="541" spans="1:13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</row>
    <row r="542" spans="1:13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12626.04</v>
      </c>
      <c r="I542" s="18"/>
      <c r="J542" s="18"/>
      <c r="K542" s="18"/>
      <c r="L542" s="88">
        <f>SUM(F542:K542)</f>
        <v>12626.04</v>
      </c>
      <c r="M542" s="8"/>
    </row>
    <row r="543" spans="1:13" s="3" customFormat="1" ht="12" customHeight="1" thickTop="1" thickBot="1" x14ac:dyDescent="0.2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32419.040000000001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32419.040000000001</v>
      </c>
      <c r="M543" s="8"/>
    </row>
    <row r="544" spans="1:13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22868.2</v>
      </c>
      <c r="G544" s="89">
        <f t="shared" ref="G544:L544" si="41">G523+G528+G533+G538+G543</f>
        <v>1927.39</v>
      </c>
      <c r="H544" s="89">
        <f t="shared" si="41"/>
        <v>102385.75</v>
      </c>
      <c r="I544" s="89">
        <f t="shared" si="41"/>
        <v>45.019999999999996</v>
      </c>
      <c r="J544" s="89">
        <f t="shared" si="41"/>
        <v>0</v>
      </c>
      <c r="K544" s="89">
        <f t="shared" si="41"/>
        <v>0</v>
      </c>
      <c r="L544" s="89">
        <f t="shared" si="41"/>
        <v>127226.36000000002</v>
      </c>
      <c r="M544" s="8"/>
    </row>
    <row r="545" spans="1:13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27791.74</v>
      </c>
      <c r="G548" s="87">
        <f>L525</f>
        <v>23146.41</v>
      </c>
      <c r="H548" s="87">
        <f>L530</f>
        <v>8835.9599999999991</v>
      </c>
      <c r="I548" s="87">
        <f>L535</f>
        <v>0</v>
      </c>
      <c r="J548" s="87">
        <f>L540</f>
        <v>19793</v>
      </c>
      <c r="K548" s="87">
        <f>SUM(F548:J548)</f>
        <v>79567.11</v>
      </c>
      <c r="L548" s="24" t="s">
        <v>289</v>
      </c>
      <c r="M548" s="8"/>
    </row>
    <row r="549" spans="1:13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</row>
    <row r="550" spans="1:13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33015.869999999995</v>
      </c>
      <c r="G550" s="87">
        <f>L527</f>
        <v>0</v>
      </c>
      <c r="H550" s="87">
        <f>L532</f>
        <v>2017.34</v>
      </c>
      <c r="I550" s="87">
        <f>L537</f>
        <v>0</v>
      </c>
      <c r="J550" s="87">
        <f>L542</f>
        <v>12626.04</v>
      </c>
      <c r="K550" s="87">
        <f>SUM(F550:J550)</f>
        <v>47659.249999999993</v>
      </c>
      <c r="L550" s="24" t="s">
        <v>289</v>
      </c>
      <c r="M550" s="8"/>
    </row>
    <row r="551" spans="1:13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60807.61</v>
      </c>
      <c r="G551" s="89">
        <f t="shared" si="42"/>
        <v>23146.41</v>
      </c>
      <c r="H551" s="89">
        <f t="shared" si="42"/>
        <v>10853.3</v>
      </c>
      <c r="I551" s="89">
        <f t="shared" si="42"/>
        <v>0</v>
      </c>
      <c r="J551" s="89">
        <f t="shared" si="42"/>
        <v>32419.040000000001</v>
      </c>
      <c r="K551" s="89">
        <f t="shared" si="42"/>
        <v>127226.35999999999</v>
      </c>
      <c r="L551" s="24"/>
      <c r="M551" s="8"/>
    </row>
    <row r="552" spans="1:13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 x14ac:dyDescent="0.15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</row>
    <row r="565" spans="1:13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 x14ac:dyDescent="0.2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</row>
    <row r="571" spans="1:13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>
        <v>16167.91</v>
      </c>
      <c r="I574" s="87">
        <f>SUM(F574:H574)</f>
        <v>16167.91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f>2428.8+485.76</f>
        <v>2914.5600000000004</v>
      </c>
      <c r="G581" s="18"/>
      <c r="H581" s="18">
        <v>456</v>
      </c>
      <c r="I581" s="87">
        <f t="shared" si="47"/>
        <v>3370.5600000000004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>
        <f>11946.12+15029.42</f>
        <v>26975.54</v>
      </c>
      <c r="I582" s="87">
        <f t="shared" si="47"/>
        <v>26975.54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f>19000*0.879</f>
        <v>16701</v>
      </c>
      <c r="I590" s="18"/>
      <c r="J590" s="18">
        <f>19000*0.121</f>
        <v>2299</v>
      </c>
      <c r="K590" s="104">
        <f t="shared" ref="K590:K596" si="48">SUM(H590:J590)</f>
        <v>19000</v>
      </c>
      <c r="L590" s="24" t="s">
        <v>289</v>
      </c>
      <c r="M590" s="8"/>
    </row>
    <row r="591" spans="1:13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19793</v>
      </c>
      <c r="I591" s="18"/>
      <c r="J591" s="18">
        <v>12626.04</v>
      </c>
      <c r="K591" s="104">
        <f t="shared" si="48"/>
        <v>32419.040000000001</v>
      </c>
      <c r="L591" s="24" t="s">
        <v>289</v>
      </c>
      <c r="M591" s="8"/>
    </row>
    <row r="592" spans="1:13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</row>
    <row r="593" spans="1:13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</row>
    <row r="594" spans="1:13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</row>
    <row r="595" spans="1:13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36494</v>
      </c>
      <c r="I597" s="108">
        <f>SUM(I590:I596)</f>
        <v>0</v>
      </c>
      <c r="J597" s="108">
        <f>SUM(J590:J596)</f>
        <v>14925.04</v>
      </c>
      <c r="K597" s="108">
        <f>SUM(K590:K596)</f>
        <v>51419.040000000001</v>
      </c>
      <c r="L597" s="24" t="s">
        <v>289</v>
      </c>
      <c r="M597" s="8"/>
    </row>
    <row r="598" spans="1:13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f>1604.55-109</f>
        <v>1495.55</v>
      </c>
      <c r="I603" s="18"/>
      <c r="J603" s="18"/>
      <c r="K603" s="104">
        <f>SUM(H603:J603)</f>
        <v>1495.55</v>
      </c>
      <c r="L603" s="24" t="s">
        <v>289</v>
      </c>
      <c r="M603" s="8"/>
    </row>
    <row r="604" spans="1:13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1495.55</v>
      </c>
      <c r="I604" s="108">
        <f>SUM(I601:I603)</f>
        <v>0</v>
      </c>
      <c r="J604" s="108">
        <f>SUM(J601:J603)</f>
        <v>0</v>
      </c>
      <c r="K604" s="108">
        <f>SUM(K601:K603)</f>
        <v>1495.55</v>
      </c>
      <c r="L604" s="24" t="s">
        <v>289</v>
      </c>
      <c r="M604" s="8"/>
    </row>
    <row r="605" spans="1:13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568.79999999999995</v>
      </c>
      <c r="G610" s="18">
        <v>48.26</v>
      </c>
      <c r="H610" s="18"/>
      <c r="I610" s="18"/>
      <c r="J610" s="18"/>
      <c r="K610" s="18"/>
      <c r="L610" s="88">
        <f>SUM(F610:K610)</f>
        <v>617.05999999999995</v>
      </c>
      <c r="M610" s="8"/>
    </row>
    <row r="611" spans="1:13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568.79999999999995</v>
      </c>
      <c r="G613" s="108">
        <f t="shared" si="49"/>
        <v>48.26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617.05999999999995</v>
      </c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99621.849999999991</v>
      </c>
      <c r="H616" s="109">
        <f>SUM(F51)</f>
        <v>99621.85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732.24</v>
      </c>
      <c r="H617" s="109">
        <f>SUM(G51)</f>
        <v>732.24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9623.23</v>
      </c>
      <c r="H618" s="109">
        <f>SUM(H51)</f>
        <v>9623.23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163784.22999999998</v>
      </c>
      <c r="H620" s="109">
        <f>SUM(J51)</f>
        <v>163784.23000000001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 x14ac:dyDescent="0.15">
      <c r="A621" s="97"/>
      <c r="B621" s="105"/>
      <c r="C621" s="105"/>
      <c r="D621" s="105"/>
      <c r="E621" s="105"/>
      <c r="F621" s="121" t="s">
        <v>896</v>
      </c>
      <c r="G621" s="109">
        <f>F50</f>
        <v>54126.7</v>
      </c>
      <c r="H621" s="109">
        <f>F475</f>
        <v>54126.700000000012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3" s="3" customFormat="1" ht="12" customHeight="1" x14ac:dyDescent="0.15">
      <c r="A622" s="97"/>
      <c r="B622" s="105"/>
      <c r="C622" s="119"/>
      <c r="D622" s="119"/>
      <c r="E622" s="119"/>
      <c r="F622" s="119" t="s">
        <v>897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 x14ac:dyDescent="0.15">
      <c r="A623" s="97"/>
      <c r="B623" s="105"/>
      <c r="C623" s="105"/>
      <c r="D623" s="105"/>
      <c r="E623" s="105"/>
      <c r="F623" s="120" t="s">
        <v>898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 x14ac:dyDescent="0.15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900</v>
      </c>
      <c r="G625" s="109">
        <f>J50</f>
        <v>163784.23000000001</v>
      </c>
      <c r="H625" s="109">
        <f>J475</f>
        <v>163784.23000000001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536578.37</v>
      </c>
      <c r="H626" s="104">
        <f>SUM(F467)</f>
        <v>536578.37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23782.879999999997</v>
      </c>
      <c r="H627" s="104">
        <f>SUM(G467)</f>
        <v>23782.880000000001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21811.840000000004</v>
      </c>
      <c r="H628" s="104">
        <f>SUM(H467)</f>
        <v>21811.84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74.98</v>
      </c>
      <c r="H630" s="104">
        <f>SUM(J467)</f>
        <v>74.98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482453.21000000008</v>
      </c>
      <c r="H631" s="104">
        <f>SUM(F471)</f>
        <v>482453.21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21811.840000000004</v>
      </c>
      <c r="H632" s="104">
        <f>SUM(H471)</f>
        <v>21811.84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8501.89</v>
      </c>
      <c r="H633" s="104">
        <f>I368</f>
        <v>8501.89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23782.879999999997</v>
      </c>
      <c r="H634" s="104">
        <f>SUM(G471)</f>
        <v>23782.880000000001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74.98</v>
      </c>
      <c r="H636" s="164">
        <f>SUM(J467)</f>
        <v>74.98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4564</v>
      </c>
      <c r="H637" s="164">
        <f>SUM(J471)</f>
        <v>4564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36561.86</v>
      </c>
      <c r="H638" s="104">
        <f>SUM(F460)</f>
        <v>36561.86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127222.37</v>
      </c>
      <c r="H639" s="104">
        <f>SUM(G460)</f>
        <v>127222.37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163784.22999999998</v>
      </c>
      <c r="H641" s="104">
        <f>SUM(I460)</f>
        <v>163784.23000000001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74.98</v>
      </c>
      <c r="H643" s="104">
        <f>H407</f>
        <v>74.98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74.98</v>
      </c>
      <c r="H645" s="104">
        <f>L407</f>
        <v>74.98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51419.040000000001</v>
      </c>
      <c r="H646" s="104">
        <f>L207+L225+L243</f>
        <v>51419.040000000001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1495.55</v>
      </c>
      <c r="H647" s="104">
        <f>(J256+J337)-(J254+J335)</f>
        <v>1495.55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36494</v>
      </c>
      <c r="H648" s="104">
        <f>H597</f>
        <v>36494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14925.04</v>
      </c>
      <c r="H650" s="104">
        <f>J597</f>
        <v>14925.04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9401.56</v>
      </c>
      <c r="H651" s="104">
        <f>K262+K344</f>
        <v>9401.56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445900.60203000007</v>
      </c>
      <c r="G659" s="19">
        <f>(L228+L308+L358)</f>
        <v>0</v>
      </c>
      <c r="H659" s="19">
        <f>(L246+L327+L359)</f>
        <v>71387.337969999993</v>
      </c>
      <c r="I659" s="19">
        <f>SUM(F659:H659)</f>
        <v>517287.94000000006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7265.8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7265.8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37182.22</v>
      </c>
      <c r="G661" s="19">
        <f>(L225+L305)-(J225+J305)</f>
        <v>0</v>
      </c>
      <c r="H661" s="19">
        <f>(L243+L324)-(J243+J324)</f>
        <v>14925.04</v>
      </c>
      <c r="I661" s="19">
        <f>SUM(F661:H661)</f>
        <v>52107.26</v>
      </c>
      <c r="J661"/>
      <c r="K661" s="13"/>
      <c r="L661" s="13"/>
      <c r="M661" s="8"/>
    </row>
    <row r="662" spans="1:13" s="3" customFormat="1" ht="12" customHeight="1" x14ac:dyDescent="0.15">
      <c r="A662" s="199" t="s">
        <v>129</v>
      </c>
      <c r="B662" s="169"/>
      <c r="C662" s="169"/>
      <c r="D662" s="169"/>
      <c r="E662" s="169"/>
      <c r="F662" s="200">
        <f>SUM(F574:F586)+SUM(H601:H603)+SUM(L610)</f>
        <v>5027.17</v>
      </c>
      <c r="G662" s="200">
        <f>SUM(G574:G586)+SUM(I601:I603)+L611</f>
        <v>0</v>
      </c>
      <c r="H662" s="200">
        <f>SUM(H574:H586)+SUM(J601:J603)+L612</f>
        <v>43599.45</v>
      </c>
      <c r="I662" s="19">
        <f>SUM(F662:H662)</f>
        <v>48626.619999999995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396425.41203000006</v>
      </c>
      <c r="G663" s="19">
        <f>G659-SUM(G660:G662)</f>
        <v>0</v>
      </c>
      <c r="H663" s="19">
        <f>H659-SUM(H660:H662)</f>
        <v>12862.847969999995</v>
      </c>
      <c r="I663" s="19">
        <f>I659-SUM(I660:I662)</f>
        <v>409288.26000000007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8">
        <v>12.65</v>
      </c>
      <c r="G664" s="249"/>
      <c r="H664" s="249"/>
      <c r="I664" s="19">
        <f>SUM(F664:H664)</f>
        <v>12.65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31337.98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32354.799999999999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>
        <v>-12682.85</v>
      </c>
      <c r="I668" s="19">
        <f>SUM(F668:H668)</f>
        <v>-12682.85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31337.98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31352.21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785</v>
      </c>
      <c r="B1" s="233" t="str">
        <f>'DOE25'!A2</f>
        <v>Errol School District</v>
      </c>
      <c r="C1" s="239" t="s">
        <v>839</v>
      </c>
    </row>
    <row r="2" spans="1:3" x14ac:dyDescent="0.2">
      <c r="A2" s="234"/>
      <c r="B2" s="233"/>
    </row>
    <row r="3" spans="1:3" x14ac:dyDescent="0.2">
      <c r="A3" s="275" t="s">
        <v>784</v>
      </c>
      <c r="B3" s="275"/>
      <c r="C3" s="275"/>
    </row>
    <row r="4" spans="1:3" x14ac:dyDescent="0.2">
      <c r="A4" s="237"/>
      <c r="B4" s="238" t="str">
        <f>'DOE25'!H1</f>
        <v>DOE 25  2011-2012</v>
      </c>
      <c r="C4" s="237"/>
    </row>
    <row r="5" spans="1:3" x14ac:dyDescent="0.2">
      <c r="A5" s="234"/>
      <c r="B5" s="233"/>
    </row>
    <row r="6" spans="1:3" x14ac:dyDescent="0.2">
      <c r="A6" s="228"/>
      <c r="B6" s="274" t="s">
        <v>783</v>
      </c>
      <c r="C6" s="274"/>
    </row>
    <row r="7" spans="1:3" x14ac:dyDescent="0.2">
      <c r="A7" s="240" t="s">
        <v>786</v>
      </c>
      <c r="B7" s="272" t="s">
        <v>782</v>
      </c>
      <c r="C7" s="273"/>
    </row>
    <row r="8" spans="1:3" x14ac:dyDescent="0.2">
      <c r="B8" s="229" t="s">
        <v>54</v>
      </c>
      <c r="C8" s="229" t="s">
        <v>776</v>
      </c>
    </row>
    <row r="9" spans="1:3" x14ac:dyDescent="0.2">
      <c r="A9" s="33" t="s">
        <v>777</v>
      </c>
      <c r="B9" s="230">
        <f>'DOE25'!F196+'DOE25'!F214+'DOE25'!F232+'DOE25'!F275+'DOE25'!F294+'DOE25'!F313</f>
        <v>105942.24</v>
      </c>
      <c r="C9" s="230">
        <f>'DOE25'!G196+'DOE25'!G214+'DOE25'!G232+'DOE25'!G275+'DOE25'!G294+'DOE25'!G313</f>
        <v>54818.93</v>
      </c>
    </row>
    <row r="10" spans="1:3" x14ac:dyDescent="0.2">
      <c r="A10" t="s">
        <v>779</v>
      </c>
      <c r="B10" s="241">
        <v>101428.63</v>
      </c>
      <c r="C10" s="241">
        <v>54294.35</v>
      </c>
    </row>
    <row r="11" spans="1:3" x14ac:dyDescent="0.2">
      <c r="A11" t="s">
        <v>780</v>
      </c>
      <c r="B11" s="241">
        <v>3841.86</v>
      </c>
      <c r="C11" s="241">
        <v>317.77</v>
      </c>
    </row>
    <row r="12" spans="1:3" x14ac:dyDescent="0.2">
      <c r="A12" t="s">
        <v>781</v>
      </c>
      <c r="B12" s="241">
        <v>671.75</v>
      </c>
      <c r="C12" s="241">
        <v>206.81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105942.24</v>
      </c>
      <c r="C13" s="232">
        <f>SUM(C10:C12)</f>
        <v>54818.929999999993</v>
      </c>
    </row>
    <row r="14" spans="1:3" x14ac:dyDescent="0.2">
      <c r="B14" s="231"/>
      <c r="C14" s="231"/>
    </row>
    <row r="15" spans="1:3" x14ac:dyDescent="0.2">
      <c r="B15" s="274" t="s">
        <v>783</v>
      </c>
      <c r="C15" s="274"/>
    </row>
    <row r="16" spans="1:3" x14ac:dyDescent="0.2">
      <c r="A16" s="240" t="s">
        <v>787</v>
      </c>
      <c r="B16" s="272" t="s">
        <v>707</v>
      </c>
      <c r="C16" s="273"/>
    </row>
    <row r="17" spans="1:3" x14ac:dyDescent="0.2">
      <c r="B17" s="229" t="s">
        <v>54</v>
      </c>
      <c r="C17" s="229" t="s">
        <v>776</v>
      </c>
    </row>
    <row r="18" spans="1:3" x14ac:dyDescent="0.2">
      <c r="A18" s="33" t="s">
        <v>777</v>
      </c>
      <c r="B18" s="230">
        <f>'DOE25'!F197+'DOE25'!F215+'DOE25'!F233+'DOE25'!F276+'DOE25'!F295+'DOE25'!F314</f>
        <v>22299.4</v>
      </c>
      <c r="C18" s="230">
        <f>'DOE25'!G197+'DOE25'!G215+'DOE25'!G233+'DOE25'!G276+'DOE25'!G295+'DOE25'!G314</f>
        <v>1879.69</v>
      </c>
    </row>
    <row r="19" spans="1:3" x14ac:dyDescent="0.2">
      <c r="A19" t="s">
        <v>779</v>
      </c>
      <c r="B19" s="241">
        <v>18198.71</v>
      </c>
      <c r="C19" s="241">
        <v>1534.03</v>
      </c>
    </row>
    <row r="20" spans="1:3" x14ac:dyDescent="0.2">
      <c r="A20" t="s">
        <v>780</v>
      </c>
      <c r="B20" s="241">
        <v>3841.75</v>
      </c>
      <c r="C20" s="241">
        <v>323.83</v>
      </c>
    </row>
    <row r="21" spans="1:3" x14ac:dyDescent="0.2">
      <c r="A21" t="s">
        <v>781</v>
      </c>
      <c r="B21" s="241">
        <v>258.94</v>
      </c>
      <c r="C21" s="241">
        <v>21.83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22299.399999999998</v>
      </c>
      <c r="C22" s="232">
        <f>SUM(C19:C21)</f>
        <v>1879.6899999999998</v>
      </c>
    </row>
    <row r="23" spans="1:3" x14ac:dyDescent="0.2">
      <c r="B23" s="231"/>
      <c r="C23" s="231"/>
    </row>
    <row r="24" spans="1:3" x14ac:dyDescent="0.2">
      <c r="B24" s="274" t="s">
        <v>783</v>
      </c>
      <c r="C24" s="274"/>
    </row>
    <row r="25" spans="1:3" x14ac:dyDescent="0.2">
      <c r="A25" s="240" t="s">
        <v>788</v>
      </c>
      <c r="B25" s="272" t="s">
        <v>708</v>
      </c>
      <c r="C25" s="273"/>
    </row>
    <row r="26" spans="1:3" x14ac:dyDescent="0.2">
      <c r="B26" s="229" t="s">
        <v>54</v>
      </c>
      <c r="C26" s="229" t="s">
        <v>776</v>
      </c>
    </row>
    <row r="27" spans="1:3" x14ac:dyDescent="0.2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 x14ac:dyDescent="0.2">
      <c r="A28" t="s">
        <v>779</v>
      </c>
      <c r="B28" s="241"/>
      <c r="C28" s="241"/>
    </row>
    <row r="29" spans="1:3" x14ac:dyDescent="0.2">
      <c r="A29" t="s">
        <v>780</v>
      </c>
      <c r="B29" s="241"/>
      <c r="C29" s="241"/>
    </row>
    <row r="30" spans="1:3" x14ac:dyDescent="0.2">
      <c r="A30" t="s">
        <v>781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4" t="s">
        <v>783</v>
      </c>
      <c r="C33" s="274"/>
    </row>
    <row r="34" spans="1:3" x14ac:dyDescent="0.2">
      <c r="A34" s="240" t="s">
        <v>789</v>
      </c>
      <c r="B34" s="272" t="s">
        <v>709</v>
      </c>
      <c r="C34" s="273"/>
    </row>
    <row r="35" spans="1:3" x14ac:dyDescent="0.2">
      <c r="B35" s="229" t="s">
        <v>54</v>
      </c>
      <c r="C35" s="229" t="s">
        <v>776</v>
      </c>
    </row>
    <row r="36" spans="1:3" x14ac:dyDescent="0.2">
      <c r="A36" s="33" t="s">
        <v>777</v>
      </c>
      <c r="B36" s="236">
        <f>'DOE25'!F199+'DOE25'!F217+'DOE25'!F235+'DOE25'!F278+'DOE25'!F297+'DOE25'!F316</f>
        <v>568.79999999999995</v>
      </c>
      <c r="C36" s="236">
        <f>'DOE25'!G199+'DOE25'!G217+'DOE25'!G235+'DOE25'!G278+'DOE25'!G297+'DOE25'!G316</f>
        <v>48.26</v>
      </c>
    </row>
    <row r="37" spans="1:3" x14ac:dyDescent="0.2">
      <c r="A37" t="s">
        <v>779</v>
      </c>
      <c r="B37" s="241">
        <v>568.79999999999995</v>
      </c>
      <c r="C37" s="241">
        <v>48.26</v>
      </c>
    </row>
    <row r="38" spans="1:3" x14ac:dyDescent="0.2">
      <c r="A38" t="s">
        <v>780</v>
      </c>
      <c r="B38" s="241"/>
      <c r="C38" s="241"/>
    </row>
    <row r="39" spans="1:3" x14ac:dyDescent="0.2">
      <c r="A39" t="s">
        <v>781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568.79999999999995</v>
      </c>
      <c r="C40" s="232">
        <f>SUM(C37:C39)</f>
        <v>48.26</v>
      </c>
    </row>
    <row r="41" spans="1:3" x14ac:dyDescent="0.2">
      <c r="B41" s="231"/>
      <c r="C41" s="231"/>
    </row>
    <row r="42" spans="1:3" x14ac:dyDescent="0.2">
      <c r="A42" s="33" t="s">
        <v>837</v>
      </c>
      <c r="B42" s="231"/>
      <c r="C42" s="231"/>
    </row>
    <row r="43" spans="1:3" x14ac:dyDescent="0.2">
      <c r="A43" t="s">
        <v>841</v>
      </c>
      <c r="B43" s="231"/>
      <c r="C43" s="231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5" t="s">
        <v>778</v>
      </c>
    </row>
    <row r="49" spans="1:1" x14ac:dyDescent="0.2">
      <c r="A49" s="269" t="s">
        <v>844</v>
      </c>
    </row>
    <row r="50" spans="1:1" x14ac:dyDescent="0.2">
      <c r="A50" s="269" t="s">
        <v>838</v>
      </c>
    </row>
    <row r="51" spans="1:1" x14ac:dyDescent="0.2">
      <c r="A51" s="269" t="s">
        <v>845</v>
      </c>
    </row>
    <row r="52" spans="1:1" x14ac:dyDescent="0.2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4" t="s">
        <v>790</v>
      </c>
      <c r="B1" s="279"/>
      <c r="C1" s="279"/>
      <c r="D1" s="279"/>
      <c r="E1" s="279"/>
      <c r="F1" s="279"/>
      <c r="G1" s="279"/>
      <c r="H1" s="279"/>
      <c r="I1" s="181"/>
    </row>
    <row r="2" spans="1:9" x14ac:dyDescent="0.2">
      <c r="A2" s="33" t="s">
        <v>717</v>
      </c>
      <c r="B2" s="266" t="str">
        <f>'DOE25'!A2</f>
        <v>Errol School District</v>
      </c>
      <c r="C2" s="181"/>
      <c r="D2" s="181" t="s">
        <v>792</v>
      </c>
      <c r="E2" s="181" t="s">
        <v>794</v>
      </c>
      <c r="F2" s="276" t="s">
        <v>821</v>
      </c>
      <c r="G2" s="277"/>
      <c r="H2" s="278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 x14ac:dyDescent="0.2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 x14ac:dyDescent="0.2">
      <c r="A5" s="32">
        <v>1000</v>
      </c>
      <c r="B5" t="s">
        <v>195</v>
      </c>
      <c r="C5" s="246">
        <f t="shared" ref="C5:C19" si="0">SUM(D5:H5)</f>
        <v>238561.80000000005</v>
      </c>
      <c r="D5" s="20">
        <f>SUM('DOE25'!L196:L199)+SUM('DOE25'!L214:L217)+SUM('DOE25'!L232:L235)-F5-G5</f>
        <v>238304.80000000005</v>
      </c>
      <c r="E5" s="244"/>
      <c r="F5" s="256">
        <f>SUM('DOE25'!J196:J199)+SUM('DOE25'!J214:J217)+SUM('DOE25'!J232:J235)</f>
        <v>207</v>
      </c>
      <c r="G5" s="53">
        <f>SUM('DOE25'!K196:K199)+SUM('DOE25'!K214:K217)+SUM('DOE25'!K232:K235)</f>
        <v>50</v>
      </c>
      <c r="H5" s="260"/>
    </row>
    <row r="6" spans="1:9" x14ac:dyDescent="0.2">
      <c r="A6" s="32">
        <v>2100</v>
      </c>
      <c r="B6" t="s">
        <v>801</v>
      </c>
      <c r="C6" s="246">
        <f t="shared" si="0"/>
        <v>36949.29</v>
      </c>
      <c r="D6" s="20">
        <f>'DOE25'!L201+'DOE25'!L219+'DOE25'!L237-F6-G6</f>
        <v>36949.29</v>
      </c>
      <c r="E6" s="244"/>
      <c r="F6" s="256">
        <f>'DOE25'!J201+'DOE25'!J219+'DOE25'!J237</f>
        <v>0</v>
      </c>
      <c r="G6" s="53">
        <f>'DOE25'!K201+'DOE25'!K219+'DOE25'!K237</f>
        <v>0</v>
      </c>
      <c r="H6" s="260"/>
    </row>
    <row r="7" spans="1:9" x14ac:dyDescent="0.2">
      <c r="A7" s="32">
        <v>2200</v>
      </c>
      <c r="B7" t="s">
        <v>834</v>
      </c>
      <c r="C7" s="246">
        <f t="shared" si="0"/>
        <v>2376.0100000000002</v>
      </c>
      <c r="D7" s="20">
        <f>'DOE25'!L202+'DOE25'!L220+'DOE25'!L238-F7-G7</f>
        <v>2376.0100000000002</v>
      </c>
      <c r="E7" s="244"/>
      <c r="F7" s="256">
        <f>'DOE25'!J202+'DOE25'!J220+'DOE25'!J238</f>
        <v>0</v>
      </c>
      <c r="G7" s="53">
        <f>'DOE25'!K202+'DOE25'!K220+'DOE25'!K238</f>
        <v>0</v>
      </c>
      <c r="H7" s="260"/>
    </row>
    <row r="8" spans="1:9" x14ac:dyDescent="0.2">
      <c r="A8" s="32">
        <v>2300</v>
      </c>
      <c r="B8" t="s">
        <v>802</v>
      </c>
      <c r="C8" s="246">
        <f t="shared" si="0"/>
        <v>41811.18</v>
      </c>
      <c r="D8" s="244"/>
      <c r="E8" s="20">
        <f>'DOE25'!L203+'DOE25'!L221+'DOE25'!L239-F8-G8-D9-D11</f>
        <v>40343.94</v>
      </c>
      <c r="F8" s="256">
        <f>'DOE25'!J203+'DOE25'!J221+'DOE25'!J239</f>
        <v>0</v>
      </c>
      <c r="G8" s="53">
        <f>'DOE25'!K203+'DOE25'!K221+'DOE25'!K239</f>
        <v>1467.24</v>
      </c>
      <c r="H8" s="260"/>
    </row>
    <row r="9" spans="1:9" x14ac:dyDescent="0.2">
      <c r="A9" s="32">
        <v>2310</v>
      </c>
      <c r="B9" t="s">
        <v>818</v>
      </c>
      <c r="C9" s="246">
        <f t="shared" si="0"/>
        <v>7889.57</v>
      </c>
      <c r="D9" s="245">
        <v>7889.57</v>
      </c>
      <c r="E9" s="244"/>
      <c r="F9" s="259"/>
      <c r="G9" s="257"/>
      <c r="H9" s="260"/>
    </row>
    <row r="10" spans="1:9" x14ac:dyDescent="0.2">
      <c r="A10" s="32">
        <v>2317</v>
      </c>
      <c r="B10" t="s">
        <v>819</v>
      </c>
      <c r="C10" s="246">
        <f t="shared" si="0"/>
        <v>3850</v>
      </c>
      <c r="D10" s="244"/>
      <c r="E10" s="245">
        <v>3850</v>
      </c>
      <c r="F10" s="259"/>
      <c r="G10" s="257"/>
      <c r="H10" s="260"/>
    </row>
    <row r="11" spans="1:9" x14ac:dyDescent="0.2">
      <c r="A11" s="32">
        <v>2321</v>
      </c>
      <c r="B11" t="s">
        <v>831</v>
      </c>
      <c r="C11" s="246">
        <f t="shared" si="0"/>
        <v>10588.82</v>
      </c>
      <c r="D11" s="245">
        <v>10588.82</v>
      </c>
      <c r="E11" s="244"/>
      <c r="F11" s="259"/>
      <c r="G11" s="257"/>
      <c r="H11" s="260"/>
    </row>
    <row r="12" spans="1:9" x14ac:dyDescent="0.2">
      <c r="A12" s="32">
        <v>2400</v>
      </c>
      <c r="B12" t="s">
        <v>715</v>
      </c>
      <c r="C12" s="246">
        <f t="shared" si="0"/>
        <v>53997.23</v>
      </c>
      <c r="D12" s="20">
        <f>'DOE25'!L204+'DOE25'!L222+'DOE25'!L240-F12-G12</f>
        <v>53258.23</v>
      </c>
      <c r="E12" s="244"/>
      <c r="F12" s="256">
        <f>'DOE25'!J204+'DOE25'!J222+'DOE25'!J240</f>
        <v>0</v>
      </c>
      <c r="G12" s="53">
        <f>'DOE25'!K204+'DOE25'!K222+'DOE25'!K240</f>
        <v>739</v>
      </c>
      <c r="H12" s="260"/>
    </row>
    <row r="13" spans="1:9" x14ac:dyDescent="0.2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 x14ac:dyDescent="0.2">
      <c r="A14" s="32">
        <v>2600</v>
      </c>
      <c r="B14" t="s">
        <v>832</v>
      </c>
      <c r="C14" s="246">
        <f t="shared" si="0"/>
        <v>29458.71</v>
      </c>
      <c r="D14" s="20">
        <f>'DOE25'!L206+'DOE25'!L224+'DOE25'!L242-F14-G14</f>
        <v>29458.71</v>
      </c>
      <c r="E14" s="244"/>
      <c r="F14" s="256">
        <f>'DOE25'!J206+'DOE25'!J224+'DOE25'!J242</f>
        <v>0</v>
      </c>
      <c r="G14" s="53">
        <f>'DOE25'!K206+'DOE25'!K224+'DOE25'!K242</f>
        <v>0</v>
      </c>
      <c r="H14" s="260"/>
    </row>
    <row r="15" spans="1:9" x14ac:dyDescent="0.2">
      <c r="A15" s="32">
        <v>2700</v>
      </c>
      <c r="B15" t="s">
        <v>804</v>
      </c>
      <c r="C15" s="246">
        <f t="shared" si="0"/>
        <v>51419.040000000001</v>
      </c>
      <c r="D15" s="20">
        <f>'DOE25'!L207+'DOE25'!L225+'DOE25'!L243-F15-G15</f>
        <v>51419.040000000001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 x14ac:dyDescent="0.2">
      <c r="A16" s="32">
        <v>2800</v>
      </c>
      <c r="B16" t="s">
        <v>805</v>
      </c>
      <c r="C16" s="246">
        <f t="shared" si="0"/>
        <v>0</v>
      </c>
      <c r="D16" s="244"/>
      <c r="E16" s="20">
        <f>'DOE25'!L208+'DOE25'!L226+'DOE25'!L244-F16-G16</f>
        <v>0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 x14ac:dyDescent="0.2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 x14ac:dyDescent="0.2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 x14ac:dyDescent="0.2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796</v>
      </c>
      <c r="F21" s="261"/>
      <c r="G21" s="52"/>
      <c r="H21" s="262"/>
    </row>
    <row r="22" spans="1:8" x14ac:dyDescent="0.2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464</v>
      </c>
      <c r="F24" s="261"/>
      <c r="G24" s="52"/>
      <c r="H24" s="262"/>
    </row>
    <row r="25" spans="1:8" x14ac:dyDescent="0.2">
      <c r="A25" s="32" t="s">
        <v>809</v>
      </c>
      <c r="B25" t="s">
        <v>810</v>
      </c>
      <c r="C25" s="246">
        <f>SUM(D25:H25)</f>
        <v>0</v>
      </c>
      <c r="D25" s="244"/>
      <c r="E25" s="244"/>
      <c r="F25" s="259"/>
      <c r="G25" s="257"/>
      <c r="H25" s="258">
        <f>'DOE25'!L259+'DOE25'!L260+'DOE25'!L340+'DOE25'!L341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812</v>
      </c>
      <c r="F27" s="261"/>
      <c r="G27" s="52"/>
      <c r="H27" s="262"/>
    </row>
    <row r="28" spans="1:8" x14ac:dyDescent="0.2">
      <c r="A28" s="32">
        <v>3100</v>
      </c>
      <c r="B28" t="s">
        <v>825</v>
      </c>
      <c r="F28" s="261"/>
      <c r="G28" s="52"/>
      <c r="H28" s="262"/>
    </row>
    <row r="29" spans="1:8" x14ac:dyDescent="0.2">
      <c r="A29" s="32"/>
      <c r="B29" t="s">
        <v>813</v>
      </c>
      <c r="C29" s="246">
        <f>SUM(D29:H29)</f>
        <v>16430.719999999998</v>
      </c>
      <c r="D29" s="20">
        <f>'DOE25'!L357+'DOE25'!L358+'DOE25'!L359-'DOE25'!I366-F29-G29</f>
        <v>16321.719999999998</v>
      </c>
      <c r="E29" s="244"/>
      <c r="F29" s="256">
        <f>'DOE25'!J357+'DOE25'!J358+'DOE25'!J359</f>
        <v>109</v>
      </c>
      <c r="G29" s="53">
        <f>'DOE25'!K357+'DOE25'!K358+'DOE25'!K359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827</v>
      </c>
      <c r="B31" t="s">
        <v>826</v>
      </c>
      <c r="C31" s="246">
        <f>SUM(D31:H31)</f>
        <v>20453.410000000003</v>
      </c>
      <c r="D31" s="20">
        <f>'DOE25'!L289+'DOE25'!L308+'DOE25'!L327+'DOE25'!L332+'DOE25'!L333+'DOE25'!L334-F31-G31</f>
        <v>18949.860000000004</v>
      </c>
      <c r="E31" s="244"/>
      <c r="F31" s="256">
        <f>'DOE25'!J289+'DOE25'!J308+'DOE25'!J327+'DOE25'!J332+'DOE25'!J333+'DOE25'!J334</f>
        <v>1288.55</v>
      </c>
      <c r="G31" s="53">
        <f>'DOE25'!K289+'DOE25'!K308+'DOE25'!K327+'DOE25'!K332+'DOE25'!K333+'DOE25'!K334</f>
        <v>215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814</v>
      </c>
      <c r="D33" s="247">
        <f>SUM(D5:D31)</f>
        <v>465516.05</v>
      </c>
      <c r="E33" s="247">
        <f>SUM(E5:E31)</f>
        <v>44193.94</v>
      </c>
      <c r="F33" s="247">
        <f>SUM(F5:F31)</f>
        <v>1604.55</v>
      </c>
      <c r="G33" s="247">
        <f>SUM(G5:G31)</f>
        <v>2471.2399999999998</v>
      </c>
      <c r="H33" s="247">
        <f>SUM(H5:H31)</f>
        <v>0</v>
      </c>
    </row>
    <row r="35" spans="2:8" ht="12" thickBot="1" x14ac:dyDescent="0.25">
      <c r="B35" s="254" t="s">
        <v>847</v>
      </c>
      <c r="D35" s="255">
        <f>E33</f>
        <v>44193.94</v>
      </c>
      <c r="E35" s="250"/>
    </row>
    <row r="36" spans="2:8" ht="12" thickTop="1" x14ac:dyDescent="0.2">
      <c r="B36" t="s">
        <v>815</v>
      </c>
      <c r="D36" s="20">
        <f>D33</f>
        <v>465516.05</v>
      </c>
    </row>
    <row r="38" spans="2:8" x14ac:dyDescent="0.2">
      <c r="B38" s="187" t="s">
        <v>859</v>
      </c>
      <c r="C38" s="267"/>
      <c r="D38" s="268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5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6" activePane="bottomLeft" state="frozen"/>
      <selection pane="bottomLeft" activeCell="A48" sqref="A48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Errol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15555.67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74549.7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163784.22999999998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4729.12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4787.3599999999997</v>
      </c>
      <c r="D12" s="95">
        <f>'DOE25'!G13</f>
        <v>732.24</v>
      </c>
      <c r="E12" s="95">
        <f>'DOE25'!H13</f>
        <v>9623.23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99621.849999999991</v>
      </c>
      <c r="D18" s="41">
        <f>SUM(D8:D17)</f>
        <v>732.24</v>
      </c>
      <c r="E18" s="41">
        <f>SUM(E8:E17)</f>
        <v>9623.23</v>
      </c>
      <c r="F18" s="41">
        <f>SUM(F8:F17)</f>
        <v>0</v>
      </c>
      <c r="G18" s="41">
        <f>SUM(G8:G17)</f>
        <v>163784.22999999998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723.97</v>
      </c>
      <c r="E21" s="95">
        <f>'DOE25'!H22</f>
        <v>4005.15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415.02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11150.58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8.27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34344.57</v>
      </c>
      <c r="D29" s="95">
        <f>'DOE25'!G30</f>
        <v>0</v>
      </c>
      <c r="E29" s="95">
        <f>'DOE25'!H30</f>
        <v>5203.0600000000004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45495.15</v>
      </c>
      <c r="D31" s="41">
        <f>SUM(D21:D30)</f>
        <v>732.24</v>
      </c>
      <c r="E31" s="41">
        <f>SUM(E21:E30)</f>
        <v>9623.23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20466.82</v>
      </c>
      <c r="H36" s="124"/>
      <c r="I36" s="124"/>
    </row>
    <row r="37" spans="1:9" x14ac:dyDescent="0.2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890</v>
      </c>
      <c r="B43" s="6">
        <v>755</v>
      </c>
      <c r="C43" s="95">
        <f>'DOE25'!F44</f>
        <v>20000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892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143317.41</v>
      </c>
      <c r="H46" s="124"/>
      <c r="I46" s="124"/>
    </row>
    <row r="47" spans="1:9" x14ac:dyDescent="0.2">
      <c r="A47" s="1" t="s">
        <v>908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893</v>
      </c>
      <c r="B48" s="71">
        <v>770</v>
      </c>
      <c r="C48" s="95">
        <f>'DOE25'!F49</f>
        <v>34126.699999999997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894</v>
      </c>
      <c r="B49" s="48"/>
      <c r="C49" s="41">
        <f>SUM(C34:C48)</f>
        <v>54126.7</v>
      </c>
      <c r="D49" s="41">
        <f>SUM(D34:D48)</f>
        <v>0</v>
      </c>
      <c r="E49" s="41">
        <f>SUM(E34:E48)</f>
        <v>0</v>
      </c>
      <c r="F49" s="41">
        <f>SUM(F34:F48)</f>
        <v>0</v>
      </c>
      <c r="G49" s="41">
        <f>SUM(G34:G48)</f>
        <v>163784.23000000001</v>
      </c>
      <c r="H49" s="124"/>
      <c r="I49" s="124"/>
    </row>
    <row r="50" spans="1:9" ht="12" thickTop="1" x14ac:dyDescent="0.2">
      <c r="A50" s="38" t="s">
        <v>895</v>
      </c>
      <c r="B50" s="2"/>
      <c r="C50" s="41">
        <f>C49+C31</f>
        <v>99621.85</v>
      </c>
      <c r="D50" s="41">
        <f>D49+D31</f>
        <v>732.24</v>
      </c>
      <c r="E50" s="41">
        <f>E49+E31</f>
        <v>9623.23</v>
      </c>
      <c r="F50" s="41">
        <f>F49+F31</f>
        <v>0</v>
      </c>
      <c r="G50" s="41">
        <f>G49+G31</f>
        <v>163784.23000000001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269372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56607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53.19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74.98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7265.8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1003.87</v>
      </c>
      <c r="D60" s="95">
        <f>SUM('DOE25'!G97:G109)</f>
        <v>0</v>
      </c>
      <c r="E60" s="95">
        <f>SUM('DOE25'!H97:H109)</f>
        <v>237.08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57664.060000000005</v>
      </c>
      <c r="D61" s="130">
        <f>SUM(D56:D60)</f>
        <v>7265.8</v>
      </c>
      <c r="E61" s="130">
        <f>SUM(E56:E60)</f>
        <v>237.08</v>
      </c>
      <c r="F61" s="130">
        <f>SUM(F56:F60)</f>
        <v>0</v>
      </c>
      <c r="G61" s="130">
        <f>SUM(G56:G60)</f>
        <v>74.98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327036.06</v>
      </c>
      <c r="D62" s="22">
        <f>D55+D61</f>
        <v>7265.8</v>
      </c>
      <c r="E62" s="22">
        <f>E55+E61</f>
        <v>237.08</v>
      </c>
      <c r="F62" s="22">
        <f>F55+F61</f>
        <v>0</v>
      </c>
      <c r="G62" s="22">
        <f>G55+G61</f>
        <v>74.98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851</v>
      </c>
      <c r="B65" s="6">
        <v>3111</v>
      </c>
      <c r="C65" s="95">
        <f>'DOE25'!F116</f>
        <v>14413.51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189120</v>
      </c>
      <c r="D66" s="24"/>
      <c r="E66" s="24"/>
      <c r="F66" s="24"/>
      <c r="G66" s="24"/>
      <c r="H66"/>
      <c r="I66"/>
    </row>
    <row r="67" spans="1:9" x14ac:dyDescent="0.2">
      <c r="A67" s="1" t="s">
        <v>852</v>
      </c>
      <c r="B67" s="6">
        <v>3119</v>
      </c>
      <c r="C67" s="95">
        <f>'DOE25'!F118</f>
        <v>12.49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273.58999999999997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203819.59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152.35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0</v>
      </c>
      <c r="D77" s="130">
        <f>SUM(D71:D76)</f>
        <v>152.35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203819.59</v>
      </c>
      <c r="D80" s="130">
        <f>SUM(D78:D79)+D77+D69</f>
        <v>152.35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7570.53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5722.72</v>
      </c>
      <c r="D87" s="95">
        <f>SUM('DOE25'!G152:G160)</f>
        <v>6963.17</v>
      </c>
      <c r="E87" s="95">
        <f>SUM('DOE25'!H152:H160)</f>
        <v>14004.23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5722.72</v>
      </c>
      <c r="D90" s="131">
        <f>SUM(D84:D89)</f>
        <v>6963.17</v>
      </c>
      <c r="E90" s="131">
        <f>SUM(E84:E89)</f>
        <v>21574.76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9401.56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9401.56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 x14ac:dyDescent="0.25">
      <c r="A103" s="33" t="s">
        <v>765</v>
      </c>
      <c r="C103" s="86">
        <f>C62+C80+C90+C102</f>
        <v>536578.37</v>
      </c>
      <c r="D103" s="86">
        <f>D62+D80+D90+D102</f>
        <v>23782.879999999997</v>
      </c>
      <c r="E103" s="86">
        <f>E62+E80+E90+E102</f>
        <v>21811.84</v>
      </c>
      <c r="F103" s="86">
        <f>F62+F80+F90+F102</f>
        <v>0</v>
      </c>
      <c r="G103" s="86">
        <f>G62+G80+G102</f>
        <v>74.98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184294.71000000002</v>
      </c>
      <c r="D108" s="24" t="s">
        <v>289</v>
      </c>
      <c r="E108" s="95">
        <f>('DOE25'!L275)+('DOE25'!L294)+('DOE25'!L313)</f>
        <v>4546.87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38134.85</v>
      </c>
      <c r="D109" s="24" t="s">
        <v>289</v>
      </c>
      <c r="E109" s="95">
        <f>('DOE25'!L276)+('DOE25'!L295)+('DOE25'!L314)</f>
        <v>6541.08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16132.24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238561.80000000002</v>
      </c>
      <c r="D114" s="86">
        <f>SUM(D108:D113)</f>
        <v>0</v>
      </c>
      <c r="E114" s="86">
        <f>SUM(E108:E113)</f>
        <v>11087.95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36949.29</v>
      </c>
      <c r="D117" s="24" t="s">
        <v>289</v>
      </c>
      <c r="E117" s="95">
        <f>+('DOE25'!L280)+('DOE25'!L299)+('DOE25'!L318)</f>
        <v>462.08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2376.0100000000002</v>
      </c>
      <c r="D118" s="24" t="s">
        <v>289</v>
      </c>
      <c r="E118" s="95">
        <f>+('DOE25'!L281)+('DOE25'!L300)+('DOE25'!L319)</f>
        <v>8215.16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60289.57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53997.23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29458.71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51419.040000000001</v>
      </c>
      <c r="D123" s="24" t="s">
        <v>289</v>
      </c>
      <c r="E123" s="95">
        <f>+('DOE25'!L286)+('DOE25'!L305)+('DOE25'!L324)</f>
        <v>688.22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23782.879999999997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234489.85</v>
      </c>
      <c r="D127" s="86">
        <f>SUM(D117:D126)</f>
        <v>23782.879999999997</v>
      </c>
      <c r="E127" s="86">
        <f>SUM(E117:E126)</f>
        <v>9365.4599999999991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4564</v>
      </c>
    </row>
    <row r="134" spans="1:7" x14ac:dyDescent="0.2">
      <c r="A134" t="s">
        <v>233</v>
      </c>
      <c r="B134" s="32" t="s">
        <v>234</v>
      </c>
      <c r="C134" s="95">
        <f>'DOE25'!L262</f>
        <v>9401.56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16.77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58.21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-74.98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1358.43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9401.56</v>
      </c>
      <c r="D143" s="141">
        <f>SUM(D129:D142)</f>
        <v>0</v>
      </c>
      <c r="E143" s="141">
        <f>SUM(E129:E142)</f>
        <v>1358.43</v>
      </c>
      <c r="F143" s="141">
        <f>SUM(F129:F142)</f>
        <v>0</v>
      </c>
      <c r="G143" s="141">
        <f>SUM(G129:G142)</f>
        <v>4564</v>
      </c>
    </row>
    <row r="144" spans="1:7" ht="12.75" thickTop="1" thickBot="1" x14ac:dyDescent="0.25">
      <c r="A144" s="33" t="s">
        <v>244</v>
      </c>
      <c r="C144" s="86">
        <f>(C114+C127+C143)</f>
        <v>482453.21</v>
      </c>
      <c r="D144" s="86">
        <f>(D114+D127+D143)</f>
        <v>23782.879999999997</v>
      </c>
      <c r="E144" s="86">
        <f>(E114+E127+E143)</f>
        <v>21811.84</v>
      </c>
      <c r="F144" s="86">
        <f>(F114+F127+F143)</f>
        <v>0</v>
      </c>
      <c r="G144" s="86">
        <f>(G114+G127+G143)</f>
        <v>4564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740</v>
      </c>
      <c r="B1" s="280"/>
      <c r="C1" s="280"/>
      <c r="D1" s="280"/>
    </row>
    <row r="2" spans="1:4" x14ac:dyDescent="0.2">
      <c r="A2" s="187" t="s">
        <v>717</v>
      </c>
      <c r="B2" s="186" t="str">
        <f>'DOE25'!A2</f>
        <v>Errol School District</v>
      </c>
    </row>
    <row r="3" spans="1:4" x14ac:dyDescent="0.2">
      <c r="B3" s="188" t="s">
        <v>862</v>
      </c>
    </row>
    <row r="4" spans="1:4" x14ac:dyDescent="0.2">
      <c r="B4" t="s">
        <v>61</v>
      </c>
      <c r="C4" s="179">
        <f>IF('DOE25'!F664+'DOE25'!F669=0,0,ROUND('DOE25'!F671,0))</f>
        <v>31338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31352</v>
      </c>
    </row>
    <row r="9" spans="1:4" x14ac:dyDescent="0.2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188842</v>
      </c>
      <c r="D10" s="182">
        <f>ROUND((C10/$C$28)*100,1)</f>
        <v>36.9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44676</v>
      </c>
      <c r="D11" s="182">
        <f>ROUND((C11/$C$28)*100,1)</f>
        <v>8.6999999999999993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16132</v>
      </c>
      <c r="D13" s="182">
        <f>ROUND((C13/$C$28)*100,1)</f>
        <v>3.2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37411</v>
      </c>
      <c r="D15" s="182">
        <f t="shared" ref="D15:D27" si="0">ROUND((C15/$C$28)*100,1)</f>
        <v>7.3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10591</v>
      </c>
      <c r="D16" s="182">
        <f t="shared" si="0"/>
        <v>2.1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60290</v>
      </c>
      <c r="D17" s="182">
        <f t="shared" si="0"/>
        <v>11.8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53997</v>
      </c>
      <c r="D18" s="182">
        <f t="shared" si="0"/>
        <v>10.6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29459</v>
      </c>
      <c r="D20" s="182">
        <f t="shared" si="0"/>
        <v>5.8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52107</v>
      </c>
      <c r="D21" s="182">
        <f t="shared" si="0"/>
        <v>10.199999999999999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1358.43</v>
      </c>
      <c r="D26" s="182">
        <f t="shared" si="0"/>
        <v>0.3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16517.2</v>
      </c>
      <c r="D27" s="182">
        <f t="shared" si="0"/>
        <v>3.2</v>
      </c>
    </row>
    <row r="28" spans="1:4" x14ac:dyDescent="0.2">
      <c r="B28" s="187" t="s">
        <v>723</v>
      </c>
      <c r="C28" s="180">
        <f>SUM(C10:C27)</f>
        <v>511380.63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511380.63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0</v>
      </c>
    </row>
    <row r="34" spans="1:4" x14ac:dyDescent="0.2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269372</v>
      </c>
      <c r="D35" s="182">
        <f t="shared" ref="D35:D40" si="1">ROUND((C35/$C$41)*100,1)</f>
        <v>47.6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57976.119999999995</v>
      </c>
      <c r="D36" s="182">
        <f t="shared" si="1"/>
        <v>10.3</v>
      </c>
    </row>
    <row r="37" spans="1:4" x14ac:dyDescent="0.2">
      <c r="A37" s="183" t="s">
        <v>853</v>
      </c>
      <c r="B37" s="185" t="s">
        <v>732</v>
      </c>
      <c r="C37" s="179">
        <f>ROUND('DOE25'!F116+'DOE25'!F117+'DOE25'!F118,0)</f>
        <v>203546</v>
      </c>
      <c r="D37" s="182">
        <f t="shared" si="1"/>
        <v>36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426</v>
      </c>
      <c r="D38" s="182">
        <f t="shared" si="1"/>
        <v>0.1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34261</v>
      </c>
      <c r="D39" s="182">
        <f t="shared" si="1"/>
        <v>6.1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565581.12</v>
      </c>
      <c r="D41" s="184">
        <f>SUM(D35:D40)</f>
        <v>100.1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5" t="s">
        <v>770</v>
      </c>
      <c r="B1" s="286"/>
      <c r="C1" s="286"/>
      <c r="D1" s="286"/>
      <c r="E1" s="286"/>
      <c r="F1" s="286"/>
      <c r="G1" s="286"/>
      <c r="H1" s="286"/>
      <c r="I1" s="286"/>
      <c r="J1" s="214"/>
      <c r="K1" s="214"/>
      <c r="L1" s="214"/>
      <c r="M1" s="215"/>
    </row>
    <row r="2" spans="1:26" ht="12.75" x14ac:dyDescent="0.2">
      <c r="A2" s="293" t="s">
        <v>767</v>
      </c>
      <c r="B2" s="294"/>
      <c r="C2" s="294"/>
      <c r="D2" s="294"/>
      <c r="E2" s="294"/>
      <c r="F2" s="289" t="str">
        <f>'DOE25'!A2</f>
        <v>Errol School District</v>
      </c>
      <c r="G2" s="290"/>
      <c r="H2" s="290"/>
      <c r="I2" s="290"/>
      <c r="J2" s="52"/>
      <c r="K2" s="52"/>
      <c r="L2" s="52"/>
      <c r="M2" s="216"/>
    </row>
    <row r="3" spans="1:26" x14ac:dyDescent="0.2">
      <c r="A3" s="217" t="s">
        <v>768</v>
      </c>
      <c r="B3" s="218" t="s">
        <v>769</v>
      </c>
      <c r="C3" s="287" t="s">
        <v>771</v>
      </c>
      <c r="D3" s="287"/>
      <c r="E3" s="287"/>
      <c r="F3" s="287"/>
      <c r="G3" s="287"/>
      <c r="H3" s="287"/>
      <c r="I3" s="287"/>
      <c r="J3" s="287"/>
      <c r="K3" s="287"/>
      <c r="L3" s="287"/>
      <c r="M3" s="288"/>
    </row>
    <row r="4" spans="1:26" x14ac:dyDescent="0.2">
      <c r="A4" s="219"/>
      <c r="B4" s="220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2"/>
      <c r="O29" s="212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8"/>
      <c r="AB29" s="208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8"/>
      <c r="AO29" s="208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8"/>
      <c r="BB29" s="208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8"/>
      <c r="BO29" s="208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8"/>
      <c r="CB29" s="208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8"/>
      <c r="CO29" s="208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8"/>
      <c r="DB29" s="208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8"/>
      <c r="DO29" s="208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8"/>
      <c r="EB29" s="208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8"/>
      <c r="EO29" s="208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8"/>
      <c r="FB29" s="208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8"/>
      <c r="FO29" s="208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8"/>
      <c r="GB29" s="208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8"/>
      <c r="GO29" s="208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8"/>
      <c r="HB29" s="208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8"/>
      <c r="HO29" s="208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8"/>
      <c r="IB29" s="208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8"/>
      <c r="IO29" s="208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9"/>
      <c r="B30" s="220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2"/>
      <c r="O30" s="212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8"/>
      <c r="AB30" s="208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8"/>
      <c r="AO30" s="208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8"/>
      <c r="BB30" s="208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8"/>
      <c r="BO30" s="208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8"/>
      <c r="CB30" s="208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8"/>
      <c r="CO30" s="208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8"/>
      <c r="DB30" s="208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8"/>
      <c r="DO30" s="208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8"/>
      <c r="EB30" s="208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8"/>
      <c r="EO30" s="208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8"/>
      <c r="FB30" s="208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8"/>
      <c r="FO30" s="208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8"/>
      <c r="GB30" s="208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8"/>
      <c r="GO30" s="208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8"/>
      <c r="HB30" s="208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8"/>
      <c r="HO30" s="208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8"/>
      <c r="IB30" s="208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8"/>
      <c r="IO30" s="208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9"/>
      <c r="B31" s="220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2"/>
      <c r="O31" s="212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8"/>
      <c r="AB31" s="208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8"/>
      <c r="AO31" s="208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8"/>
      <c r="BB31" s="208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8"/>
      <c r="BO31" s="208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8"/>
      <c r="CB31" s="208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8"/>
      <c r="CO31" s="208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8"/>
      <c r="DB31" s="208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8"/>
      <c r="DO31" s="208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8"/>
      <c r="EB31" s="208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8"/>
      <c r="EO31" s="208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8"/>
      <c r="FB31" s="208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8"/>
      <c r="FO31" s="208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8"/>
      <c r="GB31" s="208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8"/>
      <c r="GO31" s="208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8"/>
      <c r="HB31" s="208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8"/>
      <c r="HO31" s="208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8"/>
      <c r="IB31" s="208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8"/>
      <c r="IO31" s="208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9"/>
      <c r="B32" s="220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4"/>
      <c r="O32" s="224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9"/>
      <c r="AB32" s="220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9"/>
      <c r="AO32" s="220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9"/>
      <c r="BB32" s="220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9"/>
      <c r="BO32" s="220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9"/>
      <c r="CB32" s="220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9"/>
      <c r="CO32" s="220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9"/>
      <c r="DB32" s="220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9"/>
      <c r="DO32" s="220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9"/>
      <c r="EB32" s="220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9"/>
      <c r="EO32" s="220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9"/>
      <c r="FB32" s="220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9"/>
      <c r="FO32" s="220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9"/>
      <c r="GB32" s="220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9"/>
      <c r="GO32" s="220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9"/>
      <c r="HB32" s="220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9"/>
      <c r="HO32" s="220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9"/>
      <c r="IB32" s="220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9"/>
      <c r="IO32" s="220"/>
      <c r="IP32" s="281"/>
      <c r="IQ32" s="281"/>
      <c r="IR32" s="281"/>
      <c r="IS32" s="281"/>
      <c r="IT32" s="281"/>
      <c r="IU32" s="281"/>
      <c r="IV32" s="281"/>
    </row>
    <row r="33" spans="1:256" x14ac:dyDescent="0.2">
      <c r="A33" s="219"/>
      <c r="B33" s="220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2"/>
      <c r="O38" s="212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8"/>
      <c r="AB38" s="208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8"/>
      <c r="AO38" s="208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8"/>
      <c r="BB38" s="208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8"/>
      <c r="BO38" s="208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8"/>
      <c r="CB38" s="208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8"/>
      <c r="CO38" s="208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8"/>
      <c r="DB38" s="208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8"/>
      <c r="DO38" s="208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8"/>
      <c r="EB38" s="208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8"/>
      <c r="EO38" s="208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8"/>
      <c r="FB38" s="208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8"/>
      <c r="FO38" s="208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8"/>
      <c r="GB38" s="208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8"/>
      <c r="GO38" s="208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8"/>
      <c r="HB38" s="208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8"/>
      <c r="HO38" s="208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8"/>
      <c r="IB38" s="208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8"/>
      <c r="IO38" s="208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9"/>
      <c r="B39" s="220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2"/>
      <c r="O39" s="212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8"/>
      <c r="AB39" s="208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8"/>
      <c r="AO39" s="208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8"/>
      <c r="BB39" s="208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8"/>
      <c r="BO39" s="208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8"/>
      <c r="CB39" s="208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8"/>
      <c r="CO39" s="208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8"/>
      <c r="DB39" s="208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8"/>
      <c r="DO39" s="208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8"/>
      <c r="EB39" s="208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8"/>
      <c r="EO39" s="208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8"/>
      <c r="FB39" s="208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8"/>
      <c r="FO39" s="208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8"/>
      <c r="GB39" s="208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8"/>
      <c r="GO39" s="208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8"/>
      <c r="HB39" s="208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8"/>
      <c r="HO39" s="208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8"/>
      <c r="IB39" s="208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8"/>
      <c r="IO39" s="208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9"/>
      <c r="B40" s="220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2"/>
      <c r="O40" s="212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8"/>
      <c r="AB40" s="208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8"/>
      <c r="AO40" s="208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8"/>
      <c r="BB40" s="208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8"/>
      <c r="BO40" s="208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8"/>
      <c r="CB40" s="208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8"/>
      <c r="CO40" s="208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8"/>
      <c r="DB40" s="208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8"/>
      <c r="DO40" s="208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8"/>
      <c r="EB40" s="208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8"/>
      <c r="EO40" s="208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8"/>
      <c r="FB40" s="208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8"/>
      <c r="FO40" s="208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8"/>
      <c r="GB40" s="208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8"/>
      <c r="GO40" s="208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8"/>
      <c r="HB40" s="208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8"/>
      <c r="HO40" s="208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8"/>
      <c r="IB40" s="208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8"/>
      <c r="IO40" s="208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9"/>
      <c r="B41" s="220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 x14ac:dyDescent="0.2">
      <c r="A60" s="219"/>
      <c r="B60" s="220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 x14ac:dyDescent="0.2">
      <c r="A61" s="219"/>
      <c r="B61" s="220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 x14ac:dyDescent="0.2">
      <c r="A62" s="219"/>
      <c r="B62" s="220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 x14ac:dyDescent="0.2">
      <c r="A63" s="219"/>
      <c r="B63" s="220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 x14ac:dyDescent="0.2">
      <c r="A64" s="219"/>
      <c r="B64" s="220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 x14ac:dyDescent="0.2">
      <c r="A65" s="219"/>
      <c r="B65" s="220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 x14ac:dyDescent="0.2">
      <c r="A66" s="219"/>
      <c r="B66" s="220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 x14ac:dyDescent="0.2">
      <c r="A67" s="219"/>
      <c r="B67" s="220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 x14ac:dyDescent="0.2">
      <c r="A68" s="219"/>
      <c r="B68" s="220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 x14ac:dyDescent="0.2">
      <c r="A69" s="219"/>
      <c r="B69" s="220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 x14ac:dyDescent="0.25">
      <c r="A70" s="221"/>
      <c r="B70" s="222"/>
      <c r="C70" s="296"/>
      <c r="D70" s="296"/>
      <c r="E70" s="296"/>
      <c r="F70" s="296"/>
      <c r="G70" s="296"/>
      <c r="H70" s="296"/>
      <c r="I70" s="296"/>
      <c r="J70" s="296"/>
      <c r="K70" s="296"/>
      <c r="L70" s="296"/>
      <c r="M70" s="297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8" t="s">
        <v>848</v>
      </c>
      <c r="B72" s="298"/>
      <c r="C72" s="298"/>
      <c r="D72" s="298"/>
      <c r="E72" s="29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768</v>
      </c>
      <c r="B73" s="211" t="s">
        <v>769</v>
      </c>
      <c r="C73" s="295"/>
      <c r="D73" s="295"/>
      <c r="E73" s="295"/>
      <c r="F73" s="295"/>
      <c r="G73" s="295"/>
      <c r="H73" s="295"/>
      <c r="I73" s="295"/>
      <c r="J73" s="295"/>
      <c r="K73" s="295"/>
      <c r="L73" s="295"/>
      <c r="M73" s="295"/>
    </row>
    <row r="74" spans="1:13" x14ac:dyDescent="0.2">
      <c r="A74" s="212"/>
      <c r="B74" s="212"/>
      <c r="C74" s="295"/>
      <c r="D74" s="295"/>
      <c r="E74" s="295"/>
      <c r="F74" s="295"/>
      <c r="G74" s="295"/>
      <c r="H74" s="295"/>
      <c r="I74" s="295"/>
      <c r="J74" s="295"/>
      <c r="K74" s="295"/>
      <c r="L74" s="295"/>
      <c r="M74" s="295"/>
    </row>
    <row r="75" spans="1:13" x14ac:dyDescent="0.2">
      <c r="A75" s="212"/>
      <c r="B75" s="212"/>
      <c r="C75" s="295"/>
      <c r="D75" s="295"/>
      <c r="E75" s="295"/>
      <c r="F75" s="295"/>
      <c r="G75" s="295"/>
      <c r="H75" s="295"/>
      <c r="I75" s="295"/>
      <c r="J75" s="295"/>
      <c r="K75" s="295"/>
      <c r="L75" s="295"/>
      <c r="M75" s="295"/>
    </row>
    <row r="76" spans="1:13" x14ac:dyDescent="0.2">
      <c r="A76" s="212"/>
      <c r="B76" s="212"/>
      <c r="C76" s="295"/>
      <c r="D76" s="295"/>
      <c r="E76" s="295"/>
      <c r="F76" s="295"/>
      <c r="G76" s="295"/>
      <c r="H76" s="295"/>
      <c r="I76" s="295"/>
      <c r="J76" s="295"/>
      <c r="K76" s="295"/>
      <c r="L76" s="295"/>
      <c r="M76" s="295"/>
    </row>
    <row r="77" spans="1:13" x14ac:dyDescent="0.2">
      <c r="A77" s="212"/>
      <c r="B77" s="212"/>
      <c r="C77" s="295"/>
      <c r="D77" s="295"/>
      <c r="E77" s="295"/>
      <c r="F77" s="295"/>
      <c r="G77" s="295"/>
      <c r="H77" s="295"/>
      <c r="I77" s="295"/>
      <c r="J77" s="295"/>
      <c r="K77" s="295"/>
      <c r="L77" s="295"/>
      <c r="M77" s="295"/>
    </row>
    <row r="78" spans="1:13" x14ac:dyDescent="0.2">
      <c r="A78" s="212"/>
      <c r="B78" s="212"/>
      <c r="C78" s="295"/>
      <c r="D78" s="295"/>
      <c r="E78" s="295"/>
      <c r="F78" s="295"/>
      <c r="G78" s="295"/>
      <c r="H78" s="295"/>
      <c r="I78" s="295"/>
      <c r="J78" s="295"/>
      <c r="K78" s="295"/>
      <c r="L78" s="295"/>
      <c r="M78" s="295"/>
    </row>
    <row r="79" spans="1:13" x14ac:dyDescent="0.2">
      <c r="A79" s="212"/>
      <c r="B79" s="212"/>
      <c r="C79" s="295"/>
      <c r="D79" s="295"/>
      <c r="E79" s="295"/>
      <c r="F79" s="295"/>
      <c r="G79" s="295"/>
      <c r="H79" s="295"/>
      <c r="I79" s="295"/>
      <c r="J79" s="295"/>
      <c r="K79" s="295"/>
      <c r="L79" s="295"/>
      <c r="M79" s="295"/>
    </row>
    <row r="80" spans="1:13" x14ac:dyDescent="0.2">
      <c r="A80" s="212"/>
      <c r="B80" s="212"/>
      <c r="C80" s="295"/>
      <c r="D80" s="295"/>
      <c r="E80" s="295"/>
      <c r="F80" s="295"/>
      <c r="G80" s="295"/>
      <c r="H80" s="295"/>
      <c r="I80" s="295"/>
      <c r="J80" s="295"/>
      <c r="K80" s="295"/>
      <c r="L80" s="295"/>
      <c r="M80" s="295"/>
    </row>
    <row r="81" spans="1:13" x14ac:dyDescent="0.2">
      <c r="A81" s="212"/>
      <c r="B81" s="212"/>
      <c r="C81" s="295"/>
      <c r="D81" s="295"/>
      <c r="E81" s="295"/>
      <c r="F81" s="295"/>
      <c r="G81" s="295"/>
      <c r="H81" s="295"/>
      <c r="I81" s="295"/>
      <c r="J81" s="295"/>
      <c r="K81" s="295"/>
      <c r="L81" s="295"/>
      <c r="M81" s="295"/>
    </row>
    <row r="82" spans="1:13" x14ac:dyDescent="0.2">
      <c r="A82" s="212"/>
      <c r="B82" s="212"/>
      <c r="C82" s="295"/>
      <c r="D82" s="295"/>
      <c r="E82" s="295"/>
      <c r="F82" s="295"/>
      <c r="G82" s="295"/>
      <c r="H82" s="295"/>
      <c r="I82" s="295"/>
      <c r="J82" s="295"/>
      <c r="K82" s="295"/>
      <c r="L82" s="295"/>
      <c r="M82" s="295"/>
    </row>
    <row r="83" spans="1:13" x14ac:dyDescent="0.2">
      <c r="A83" s="212"/>
      <c r="B83" s="212"/>
      <c r="C83" s="295"/>
      <c r="D83" s="295"/>
      <c r="E83" s="295"/>
      <c r="F83" s="295"/>
      <c r="G83" s="295"/>
      <c r="H83" s="295"/>
      <c r="I83" s="295"/>
      <c r="J83" s="295"/>
      <c r="K83" s="295"/>
      <c r="L83" s="295"/>
      <c r="M83" s="295"/>
    </row>
    <row r="84" spans="1:13" x14ac:dyDescent="0.2">
      <c r="A84" s="212"/>
      <c r="B84" s="212"/>
      <c r="C84" s="295"/>
      <c r="D84" s="295"/>
      <c r="E84" s="295"/>
      <c r="F84" s="295"/>
      <c r="G84" s="295"/>
      <c r="H84" s="295"/>
      <c r="I84" s="295"/>
      <c r="J84" s="295"/>
      <c r="K84" s="295"/>
      <c r="L84" s="295"/>
      <c r="M84" s="295"/>
    </row>
    <row r="85" spans="1:13" x14ac:dyDescent="0.2">
      <c r="A85" s="212"/>
      <c r="B85" s="212"/>
      <c r="C85" s="295"/>
      <c r="D85" s="295"/>
      <c r="E85" s="295"/>
      <c r="F85" s="295"/>
      <c r="G85" s="295"/>
      <c r="H85" s="295"/>
      <c r="I85" s="295"/>
      <c r="J85" s="295"/>
      <c r="K85" s="295"/>
      <c r="L85" s="295"/>
      <c r="M85" s="295"/>
    </row>
    <row r="86" spans="1:13" x14ac:dyDescent="0.2">
      <c r="A86" s="212"/>
      <c r="B86" s="212"/>
      <c r="C86" s="295"/>
      <c r="D86" s="295"/>
      <c r="E86" s="295"/>
      <c r="F86" s="295"/>
      <c r="G86" s="295"/>
      <c r="H86" s="295"/>
      <c r="I86" s="295"/>
      <c r="J86" s="295"/>
      <c r="K86" s="295"/>
      <c r="L86" s="295"/>
      <c r="M86" s="295"/>
    </row>
    <row r="87" spans="1:13" x14ac:dyDescent="0.2">
      <c r="A87" s="212"/>
      <c r="B87" s="212"/>
      <c r="C87" s="295"/>
      <c r="D87" s="295"/>
      <c r="E87" s="295"/>
      <c r="F87" s="295"/>
      <c r="G87" s="295"/>
      <c r="H87" s="295"/>
      <c r="I87" s="295"/>
      <c r="J87" s="295"/>
      <c r="K87" s="295"/>
      <c r="L87" s="295"/>
      <c r="M87" s="295"/>
    </row>
    <row r="88" spans="1:13" x14ac:dyDescent="0.2">
      <c r="A88" s="212"/>
      <c r="B88" s="212"/>
      <c r="C88" s="295"/>
      <c r="D88" s="295"/>
      <c r="E88" s="295"/>
      <c r="F88" s="295"/>
      <c r="G88" s="295"/>
      <c r="H88" s="295"/>
      <c r="I88" s="295"/>
      <c r="J88" s="295"/>
      <c r="K88" s="295"/>
      <c r="L88" s="295"/>
      <c r="M88" s="295"/>
    </row>
    <row r="89" spans="1:13" x14ac:dyDescent="0.2">
      <c r="A89" s="212"/>
      <c r="B89" s="212"/>
      <c r="C89" s="295"/>
      <c r="D89" s="295"/>
      <c r="E89" s="295"/>
      <c r="F89" s="295"/>
      <c r="G89" s="295"/>
      <c r="H89" s="295"/>
      <c r="I89" s="295"/>
      <c r="J89" s="295"/>
      <c r="K89" s="295"/>
      <c r="L89" s="295"/>
      <c r="M89" s="295"/>
    </row>
    <row r="90" spans="1:13" x14ac:dyDescent="0.2">
      <c r="A90" s="212"/>
      <c r="B90" s="212"/>
      <c r="C90" s="295"/>
      <c r="D90" s="295"/>
      <c r="E90" s="295"/>
      <c r="F90" s="295"/>
      <c r="G90" s="295"/>
      <c r="H90" s="295"/>
      <c r="I90" s="295"/>
      <c r="J90" s="295"/>
      <c r="K90" s="295"/>
      <c r="L90" s="295"/>
      <c r="M90" s="295"/>
    </row>
  </sheetData>
  <sheetProtection password="BF0A" sheet="1" objects="1" scenarios="1"/>
  <mergeCells count="223"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2012-08-24T13:36:46Z</cp:lastPrinted>
  <dcterms:created xsi:type="dcterms:W3CDTF">1997-12-04T19:04:30Z</dcterms:created>
  <dcterms:modified xsi:type="dcterms:W3CDTF">2012-11-21T14:30:14Z</dcterms:modified>
</cp:coreProperties>
</file>