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46" i="1" s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28" i="1" s="1"/>
  <c r="L238" i="1"/>
  <c r="F12" i="13"/>
  <c r="G12" i="13"/>
  <c r="L204" i="1"/>
  <c r="L222" i="1"/>
  <c r="L240" i="1"/>
  <c r="F14" i="13"/>
  <c r="G14" i="13"/>
  <c r="G33" i="13" s="1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61" i="1" s="1"/>
  <c r="C27" i="10" s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C20" i="10" s="1"/>
  <c r="L286" i="1"/>
  <c r="F661" i="1"/>
  <c r="I661" i="1" s="1"/>
  <c r="L287" i="1"/>
  <c r="L294" i="1"/>
  <c r="L295" i="1"/>
  <c r="L296" i="1"/>
  <c r="L297" i="1"/>
  <c r="L299" i="1"/>
  <c r="C15" i="10" s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C25" i="10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 s="1"/>
  <c r="F120" i="1"/>
  <c r="F139" i="1" s="1"/>
  <c r="F135" i="1"/>
  <c r="G120" i="1"/>
  <c r="G135" i="1"/>
  <c r="G139" i="1"/>
  <c r="H120" i="1"/>
  <c r="H135" i="1"/>
  <c r="I120" i="1"/>
  <c r="I139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7" i="10"/>
  <c r="C18" i="10"/>
  <c r="C21" i="10"/>
  <c r="L249" i="1"/>
  <c r="L331" i="1"/>
  <c r="L253" i="1"/>
  <c r="C24" i="10" s="1"/>
  <c r="L267" i="1"/>
  <c r="L268" i="1"/>
  <c r="L348" i="1"/>
  <c r="L349" i="1"/>
  <c r="I664" i="1"/>
  <c r="I669" i="1"/>
  <c r="L210" i="1"/>
  <c r="F660" i="1"/>
  <c r="G660" i="1"/>
  <c r="H660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E136" i="2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 s="1"/>
  <c r="L530" i="1"/>
  <c r="H548" i="1" s="1"/>
  <c r="H551" i="1" s="1"/>
  <c r="L531" i="1"/>
  <c r="H549" i="1"/>
  <c r="L532" i="1"/>
  <c r="H550" i="1"/>
  <c r="L535" i="1"/>
  <c r="I548" i="1"/>
  <c r="L536" i="1"/>
  <c r="I549" i="1" s="1"/>
  <c r="L537" i="1"/>
  <c r="I550" i="1" s="1"/>
  <c r="L540" i="1"/>
  <c r="J548" i="1" s="1"/>
  <c r="J551" i="1" s="1"/>
  <c r="L541" i="1"/>
  <c r="J549" i="1"/>
  <c r="L542" i="1"/>
  <c r="J550" i="1"/>
  <c r="E131" i="2"/>
  <c r="E130" i="2"/>
  <c r="K269" i="1"/>
  <c r="J269" i="1"/>
  <c r="I269" i="1"/>
  <c r="H269" i="1"/>
  <c r="G269" i="1"/>
  <c r="F269" i="1"/>
  <c r="L269" i="1"/>
  <c r="C131" i="2"/>
  <c r="C130" i="2"/>
  <c r="A1" i="2"/>
  <c r="A2" i="2"/>
  <c r="C8" i="2"/>
  <c r="D8" i="2"/>
  <c r="E8" i="2"/>
  <c r="F8" i="2"/>
  <c r="F18" i="2" s="1"/>
  <c r="I438" i="1"/>
  <c r="J9" i="1" s="1"/>
  <c r="G8" i="2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C18" i="2" s="1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D22" i="2"/>
  <c r="E22" i="2"/>
  <c r="E31" i="2" s="1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I459" i="1"/>
  <c r="J43" i="1"/>
  <c r="G42" i="2"/>
  <c r="I456" i="1"/>
  <c r="J37" i="1"/>
  <c r="I458" i="1"/>
  <c r="J47" i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F102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E127" i="2" s="1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C141" i="2"/>
  <c r="E141" i="2"/>
  <c r="E143" i="2" s="1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G157" i="2" s="1"/>
  <c r="B158" i="2"/>
  <c r="C158" i="2"/>
  <c r="D158" i="2"/>
  <c r="G158" i="2" s="1"/>
  <c r="E158" i="2"/>
  <c r="F158" i="2"/>
  <c r="B159" i="2"/>
  <c r="C159" i="2"/>
  <c r="D159" i="2"/>
  <c r="G159" i="2" s="1"/>
  <c r="E159" i="2"/>
  <c r="F159" i="2"/>
  <c r="F499" i="1"/>
  <c r="B160" i="2"/>
  <c r="G499" i="1"/>
  <c r="C160" i="2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G162" i="2"/>
  <c r="F162" i="2"/>
  <c r="F502" i="1"/>
  <c r="B163" i="2" s="1"/>
  <c r="G163" i="2" s="1"/>
  <c r="G502" i="1"/>
  <c r="C163" i="2"/>
  <c r="H502" i="1"/>
  <c r="D163" i="2"/>
  <c r="I502" i="1"/>
  <c r="E163" i="2"/>
  <c r="J502" i="1"/>
  <c r="F163" i="2"/>
  <c r="F19" i="1"/>
  <c r="G19" i="1"/>
  <c r="G617" i="1" s="1"/>
  <c r="H19" i="1"/>
  <c r="G618" i="1" s="1"/>
  <c r="I19" i="1"/>
  <c r="F32" i="1"/>
  <c r="G32" i="1"/>
  <c r="H32" i="1"/>
  <c r="I32" i="1"/>
  <c r="F50" i="1"/>
  <c r="F51" i="1"/>
  <c r="H616" i="1" s="1"/>
  <c r="G50" i="1"/>
  <c r="G51" i="1" s="1"/>
  <c r="H617" i="1" s="1"/>
  <c r="H50" i="1"/>
  <c r="H51" i="1"/>
  <c r="H618" i="1" s="1"/>
  <c r="I50" i="1"/>
  <c r="G624" i="1" s="1"/>
  <c r="I51" i="1"/>
  <c r="H619" i="1" s="1"/>
  <c r="F176" i="1"/>
  <c r="I176" i="1"/>
  <c r="I191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H256" i="1" s="1"/>
  <c r="H270" i="1" s="1"/>
  <c r="I210" i="1"/>
  <c r="I256" i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G640" i="1"/>
  <c r="F451" i="1"/>
  <c r="G451" i="1"/>
  <c r="H451" i="1"/>
  <c r="F459" i="1"/>
  <c r="G459" i="1"/>
  <c r="G460" i="1"/>
  <c r="H639" i="1" s="1"/>
  <c r="H459" i="1"/>
  <c r="F460" i="1"/>
  <c r="H460" i="1"/>
  <c r="H640" i="1"/>
  <c r="F469" i="1"/>
  <c r="G469" i="1"/>
  <c r="G475" i="1" s="1"/>
  <c r="H622" i="1" s="1"/>
  <c r="H469" i="1"/>
  <c r="I469" i="1"/>
  <c r="J469" i="1"/>
  <c r="F473" i="1"/>
  <c r="F475" i="1"/>
  <c r="H621" i="1" s="1"/>
  <c r="G473" i="1"/>
  <c r="H473" i="1"/>
  <c r="I473" i="1"/>
  <c r="J473" i="1"/>
  <c r="J475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F528" i="1"/>
  <c r="F533" i="1"/>
  <c r="F544" i="1"/>
  <c r="G523" i="1"/>
  <c r="H523" i="1"/>
  <c r="I523" i="1"/>
  <c r="J523" i="1"/>
  <c r="J544" i="1"/>
  <c r="K523" i="1"/>
  <c r="G528" i="1"/>
  <c r="G544" i="1" s="1"/>
  <c r="H528" i="1"/>
  <c r="I528" i="1"/>
  <c r="I544" i="1" s="1"/>
  <c r="J528" i="1"/>
  <c r="K528" i="1"/>
  <c r="K544" i="1" s="1"/>
  <c r="L528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L559" i="1" s="1"/>
  <c r="F559" i="1"/>
  <c r="G559" i="1"/>
  <c r="H559" i="1"/>
  <c r="I559" i="1"/>
  <c r="J559" i="1"/>
  <c r="K559" i="1"/>
  <c r="K570" i="1" s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/>
  <c r="G646" i="1" s="1"/>
  <c r="J646" i="1" s="1"/>
  <c r="K592" i="1"/>
  <c r="K593" i="1"/>
  <c r="K594" i="1"/>
  <c r="K595" i="1"/>
  <c r="K596" i="1"/>
  <c r="H597" i="1"/>
  <c r="H648" i="1" s="1"/>
  <c r="G648" i="1"/>
  <c r="J648" i="1" s="1"/>
  <c r="I597" i="1"/>
  <c r="H649" i="1" s="1"/>
  <c r="J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J619" i="1" s="1"/>
  <c r="G621" i="1"/>
  <c r="G622" i="1"/>
  <c r="J622" i="1" s="1"/>
  <c r="G623" i="1"/>
  <c r="H626" i="1"/>
  <c r="H627" i="1"/>
  <c r="H628" i="1"/>
  <c r="H629" i="1"/>
  <c r="H630" i="1"/>
  <c r="H631" i="1"/>
  <c r="H632" i="1"/>
  <c r="H633" i="1"/>
  <c r="G634" i="1"/>
  <c r="J634" i="1"/>
  <c r="H634" i="1"/>
  <c r="H635" i="1"/>
  <c r="H636" i="1"/>
  <c r="H637" i="1"/>
  <c r="G638" i="1"/>
  <c r="H638" i="1"/>
  <c r="J638" i="1" s="1"/>
  <c r="G639" i="1"/>
  <c r="J639" i="1" s="1"/>
  <c r="G642" i="1"/>
  <c r="J642" i="1"/>
  <c r="H642" i="1"/>
  <c r="G643" i="1"/>
  <c r="J643" i="1" s="1"/>
  <c r="G644" i="1"/>
  <c r="J644" i="1" s="1"/>
  <c r="H644" i="1"/>
  <c r="H646" i="1"/>
  <c r="G649" i="1"/>
  <c r="G650" i="1"/>
  <c r="J650" i="1" s="1"/>
  <c r="G651" i="1"/>
  <c r="H651" i="1"/>
  <c r="J651" i="1"/>
  <c r="G652" i="1"/>
  <c r="H652" i="1"/>
  <c r="J652" i="1" s="1"/>
  <c r="G653" i="1"/>
  <c r="J653" i="1" s="1"/>
  <c r="H653" i="1"/>
  <c r="H654" i="1"/>
  <c r="J654" i="1"/>
  <c r="J351" i="1"/>
  <c r="F191" i="1"/>
  <c r="K256" i="1"/>
  <c r="K270" i="1"/>
  <c r="G256" i="1"/>
  <c r="G270" i="1"/>
  <c r="C26" i="10"/>
  <c r="L327" i="1"/>
  <c r="H659" i="1" s="1"/>
  <c r="H663" i="1" s="1"/>
  <c r="L350" i="1"/>
  <c r="L289" i="1"/>
  <c r="F659" i="1"/>
  <c r="A31" i="12"/>
  <c r="A40" i="12"/>
  <c r="D12" i="13"/>
  <c r="C12" i="13"/>
  <c r="D61" i="2"/>
  <c r="D62" i="2"/>
  <c r="E49" i="2"/>
  <c r="E50" i="2" s="1"/>
  <c r="D18" i="13"/>
  <c r="C18" i="13" s="1"/>
  <c r="D15" i="13"/>
  <c r="C15" i="13" s="1"/>
  <c r="D7" i="13"/>
  <c r="D18" i="2"/>
  <c r="D17" i="13"/>
  <c r="C17" i="13" s="1"/>
  <c r="D6" i="13"/>
  <c r="C6" i="13" s="1"/>
  <c r="E8" i="13"/>
  <c r="C8" i="13" s="1"/>
  <c r="G80" i="2"/>
  <c r="F77" i="2"/>
  <c r="F80" i="2" s="1"/>
  <c r="D31" i="2"/>
  <c r="C127" i="2"/>
  <c r="D49" i="2"/>
  <c r="D50" i="2" s="1"/>
  <c r="G155" i="2"/>
  <c r="G102" i="2"/>
  <c r="E102" i="2"/>
  <c r="C102" i="2"/>
  <c r="D90" i="2"/>
  <c r="F90" i="2"/>
  <c r="E61" i="2"/>
  <c r="E62" i="2" s="1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L426" i="1"/>
  <c r="H111" i="1"/>
  <c r="F111" i="1"/>
  <c r="F192" i="1" s="1"/>
  <c r="G626" i="1" s="1"/>
  <c r="J626" i="1" s="1"/>
  <c r="K604" i="1"/>
  <c r="G647" i="1"/>
  <c r="L418" i="1"/>
  <c r="L433" i="1"/>
  <c r="G637" i="1" s="1"/>
  <c r="J637" i="1" s="1"/>
  <c r="I168" i="1"/>
  <c r="H168" i="1"/>
  <c r="H625" i="1"/>
  <c r="H475" i="1"/>
  <c r="H623" i="1" s="1"/>
  <c r="J623" i="1" s="1"/>
  <c r="I475" i="1"/>
  <c r="H624" i="1" s="1"/>
  <c r="J624" i="1" s="1"/>
  <c r="C23" i="10"/>
  <c r="F168" i="1"/>
  <c r="C39" i="10" s="1"/>
  <c r="J139" i="1"/>
  <c r="J192" i="1" s="1"/>
  <c r="G62" i="2"/>
  <c r="G103" i="2" s="1"/>
  <c r="F663" i="1"/>
  <c r="F671" i="1" s="1"/>
  <c r="C4" i="10" s="1"/>
  <c r="G22" i="2"/>
  <c r="C29" i="10"/>
  <c r="I660" i="1"/>
  <c r="H139" i="1"/>
  <c r="L400" i="1"/>
  <c r="L407" i="1"/>
  <c r="C138" i="2"/>
  <c r="L392" i="1"/>
  <c r="A13" i="12"/>
  <c r="F22" i="13"/>
  <c r="F33" i="13"/>
  <c r="H25" i="13"/>
  <c r="C25" i="13"/>
  <c r="J633" i="1"/>
  <c r="L336" i="1"/>
  <c r="F337" i="1"/>
  <c r="F351" i="1"/>
  <c r="G191" i="1"/>
  <c r="F551" i="1"/>
  <c r="C35" i="10"/>
  <c r="L308" i="1"/>
  <c r="L337" i="1" s="1"/>
  <c r="L351" i="1" s="1"/>
  <c r="G632" i="1" s="1"/>
  <c r="J632" i="1" s="1"/>
  <c r="D5" i="13"/>
  <c r="E16" i="13"/>
  <c r="C16" i="13" s="1"/>
  <c r="C49" i="2"/>
  <c r="C50" i="2"/>
  <c r="L569" i="1"/>
  <c r="G36" i="2"/>
  <c r="G49" i="2"/>
  <c r="J50" i="1"/>
  <c r="G625" i="1" s="1"/>
  <c r="J625" i="1" s="1"/>
  <c r="H544" i="1"/>
  <c r="C22" i="13"/>
  <c r="C137" i="2"/>
  <c r="C140" i="2" s="1"/>
  <c r="D31" i="13"/>
  <c r="C31" i="13" s="1"/>
  <c r="F666" i="1"/>
  <c r="H192" i="1"/>
  <c r="G628" i="1" s="1"/>
  <c r="J628" i="1" s="1"/>
  <c r="G636" i="1"/>
  <c r="J636" i="1" s="1"/>
  <c r="H645" i="1"/>
  <c r="J640" i="1"/>
  <c r="G16" i="2"/>
  <c r="J19" i="1"/>
  <c r="G620" i="1" s="1"/>
  <c r="E114" i="2"/>
  <c r="E144" i="2" s="1"/>
  <c r="C61" i="2"/>
  <c r="C62" i="2" s="1"/>
  <c r="C103" i="2" s="1"/>
  <c r="F49" i="2"/>
  <c r="F50" i="2"/>
  <c r="G18" i="2"/>
  <c r="G570" i="1"/>
  <c r="G337" i="1"/>
  <c r="G351" i="1" s="1"/>
  <c r="F61" i="2"/>
  <c r="F62" i="2" s="1"/>
  <c r="F103" i="2" s="1"/>
  <c r="C36" i="10"/>
  <c r="G551" i="1"/>
  <c r="G433" i="1"/>
  <c r="K433" i="1"/>
  <c r="G133" i="2" s="1"/>
  <c r="G143" i="2" s="1"/>
  <c r="G144" i="2" s="1"/>
  <c r="C90" i="2"/>
  <c r="C77" i="2"/>
  <c r="C80" i="2"/>
  <c r="K548" i="1"/>
  <c r="L381" i="1"/>
  <c r="G635" i="1"/>
  <c r="J635" i="1" s="1"/>
  <c r="F129" i="2"/>
  <c r="F143" i="2" s="1"/>
  <c r="F144" i="2" s="1"/>
  <c r="I662" i="1"/>
  <c r="C28" i="10"/>
  <c r="D26" i="10" s="1"/>
  <c r="J256" i="1"/>
  <c r="C5" i="13"/>
  <c r="L255" i="1"/>
  <c r="L256" i="1"/>
  <c r="L270" i="1" s="1"/>
  <c r="G631" i="1" s="1"/>
  <c r="J631" i="1" s="1"/>
  <c r="E18" i="2"/>
  <c r="H33" i="13"/>
  <c r="J621" i="1"/>
  <c r="I451" i="1"/>
  <c r="I460" i="1"/>
  <c r="H641" i="1" s="1"/>
  <c r="I445" i="1"/>
  <c r="G641" i="1" s="1"/>
  <c r="J641" i="1" s="1"/>
  <c r="G160" i="2"/>
  <c r="D102" i="2"/>
  <c r="D103" i="2" s="1"/>
  <c r="E77" i="2"/>
  <c r="E80" i="2" s="1"/>
  <c r="J32" i="1"/>
  <c r="L533" i="1"/>
  <c r="L523" i="1"/>
  <c r="L544" i="1" s="1"/>
  <c r="J270" i="1"/>
  <c r="H647" i="1"/>
  <c r="J647" i="1"/>
  <c r="D24" i="10"/>
  <c r="D13" i="10"/>
  <c r="D15" i="10"/>
  <c r="D27" i="10"/>
  <c r="C30" i="10"/>
  <c r="D16" i="10"/>
  <c r="D25" i="10"/>
  <c r="D12" i="10"/>
  <c r="D20" i="10"/>
  <c r="E33" i="13" l="1"/>
  <c r="D35" i="13" s="1"/>
  <c r="E103" i="2"/>
  <c r="L570" i="1"/>
  <c r="G630" i="1"/>
  <c r="J630" i="1" s="1"/>
  <c r="G645" i="1"/>
  <c r="J645" i="1" s="1"/>
  <c r="H671" i="1"/>
  <c r="H666" i="1"/>
  <c r="D33" i="13"/>
  <c r="D36" i="13" s="1"/>
  <c r="I570" i="1"/>
  <c r="J618" i="1"/>
  <c r="G31" i="2"/>
  <c r="G50" i="2" s="1"/>
  <c r="G192" i="1"/>
  <c r="G627" i="1" s="1"/>
  <c r="J627" i="1" s="1"/>
  <c r="D23" i="10"/>
  <c r="D17" i="10"/>
  <c r="D21" i="10"/>
  <c r="D11" i="10"/>
  <c r="D18" i="10"/>
  <c r="D19" i="10"/>
  <c r="D10" i="10"/>
  <c r="D22" i="10"/>
  <c r="J51" i="1"/>
  <c r="H620" i="1" s="1"/>
  <c r="J620" i="1" s="1"/>
  <c r="G659" i="1"/>
  <c r="J570" i="1"/>
  <c r="H570" i="1"/>
  <c r="J617" i="1"/>
  <c r="C143" i="2"/>
  <c r="C144" i="2" s="1"/>
  <c r="I551" i="1"/>
  <c r="K550" i="1"/>
  <c r="K549" i="1"/>
  <c r="C38" i="10"/>
  <c r="I192" i="1"/>
  <c r="G629" i="1" s="1"/>
  <c r="J629" i="1" s="1"/>
  <c r="K499" i="1"/>
  <c r="K551" i="1" l="1"/>
  <c r="D28" i="10"/>
  <c r="H655" i="1"/>
  <c r="C41" i="10"/>
  <c r="D38" i="10"/>
  <c r="I659" i="1"/>
  <c r="I663" i="1" s="1"/>
  <c r="G663" i="1"/>
  <c r="G671" i="1" l="1"/>
  <c r="G666" i="1"/>
  <c r="I671" i="1"/>
  <c r="C7" i="10" s="1"/>
  <c r="I666" i="1"/>
  <c r="D35" i="10"/>
  <c r="D37" i="10"/>
  <c r="D40" i="10"/>
  <c r="D36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<sst xmlns="http://schemas.openxmlformats.org/spreadsheetml/2006/main" count="3943" uniqueCount="910">
  <si>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</si>
  <si>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</si>
  <si>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</si>
  <si>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</si>
  <si>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</si>
  <si>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</si>
  <si>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</si>
  <si>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</si>
  <si>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</si>
  <si>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</si>
  <si>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</si>
  <si>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</si>
  <si>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</si>
  <si>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</si>
  <si>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</si>
  <si>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</si>
  <si>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</si>
  <si>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</si>
  <si>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</si>
  <si>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</si>
  <si>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</si>
  <si>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</si>
  <si>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</si>
  <si>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</si>
  <si>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</si>
  <si>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</si>
  <si>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</si>
  <si>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</si>
  <si>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</si>
  <si>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</si>
  <si>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</si>
  <si>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</si>
  <si>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</si>
  <si>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</si>
  <si>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</si>
  <si>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</si>
  <si>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</si>
  <si>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</si>
  <si>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</si>
  <si>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</si>
  <si>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</si>
  <si>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</si>
  <si>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</si>
  <si>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</si>
  <si>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</si>
  <si>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</si>
  <si>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</si>
  <si>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</si>
  <si>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</si>
  <si>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</si>
  <si>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</si>
  <si>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</si>
  <si>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</si>
  <si>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</si>
  <si>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</si>
  <si>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</si>
  <si>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</si>
  <si>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</si>
  <si>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</si>
  <si>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</si>
  <si>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</si>
  <si>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</si>
  <si>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</si>
  <si>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</si>
  <si>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</si>
  <si>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</si>
  <si>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</si>
  <si>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</si>
  <si>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</si>
  <si>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</si>
  <si>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</si>
  <si>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</si>
  <si>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</si>
  <si>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</si>
  <si>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</si>
  <si>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</si>
  <si>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</si>
  <si>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</si>
  <si>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</si>
  <si>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</si>
  <si>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</si>
  <si>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</si>
  <si>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</si>
  <si>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</si>
  <si>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</si>
  <si>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</si>
  <si>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</si>
  <si>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</si>
  <si>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</si>
  <si>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</si>
  <si>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</si>
  <si>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</si>
  <si>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</si>
  <si>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</si>
  <si>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</si>
  <si>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</si>
  <si>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</si>
  <si>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</si>
  <si>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</si>
  <si>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</si>
  <si>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</si>
  <si>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</si>
  <si>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</si>
  <si>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</si>
  <si>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</si>
  <si>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</si>
  <si>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</si>
  <si>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</si>
  <si>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</si>
  <si>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</si>
  <si>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</si>
  <si>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</si>
  <si>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</si>
  <si>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</si>
  <si>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</si>
  <si>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</si>
  <si>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</si>
  <si>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</si>
  <si>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</si>
  <si>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</si>
  <si>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</si>
  <si>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</si>
  <si>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</si>
  <si>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</si>
  <si>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</si>
  <si>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</si>
  <si>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</si>
  <si>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</si>
  <si>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</si>
  <si>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</si>
  <si>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</si>
  <si>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</si>
  <si>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</si>
  <si>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</si>
  <si>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</si>
  <si>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</si>
  <si>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</si>
  <si>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</si>
  <si>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</si>
  <si>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</si>
  <si>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</si>
  <si>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</si>
  <si>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</si>
  <si>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</si>
  <si>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</si>
  <si>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</si>
  <si>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</si>
  <si>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</si>
  <si>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</si>
  <si>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</si>
  <si>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</si>
  <si>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</si>
  <si>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</si>
  <si>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</si>
  <si>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</si>
  <si>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</si>
  <si>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</si>
  <si>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</si>
  <si>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</si>
  <si>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</si>
  <si>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</si>
  <si>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</si>
  <si>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</si>
  <si>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</si>
  <si>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</si>
  <si>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</si>
  <si>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</si>
  <si>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</si>
  <si>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</si>
  <si>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</si>
  <si>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</si>
  <si>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</si>
  <si>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</si>
  <si>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</si>
  <si>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</si>
  <si>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</si>
  <si>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</si>
  <si>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</si>
  <si>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</si>
  <si>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</si>
  <si>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</si>
  <si>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</si>
  <si>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</si>
  <si>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</si>
  <si>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</si>
  <si>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</si>
  <si>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</si>
  <si>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</si>
  <si>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</si>
  <si>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</si>
  <si>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</si>
  <si>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</si>
  <si>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</si>
  <si>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</si>
  <si>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</si>
  <si>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</si>
  <si>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</si>
  <si>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</si>
  <si>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</si>
  <si>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</si>
  <si>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</si>
  <si>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</si>
  <si>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</si>
  <si>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</si>
  <si>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</si>
  <si>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</si>
  <si>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</si>
  <si>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</si>
  <si>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</si>
  <si>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</si>
  <si>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</si>
  <si>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</si>
  <si>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</si>
  <si>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</si>
  <si>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</si>
  <si>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</si>
  <si>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</si>
  <si>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</si>
  <si>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</si>
  <si>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</si>
  <si>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</si>
  <si>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</si>
  <si>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</si>
  <si>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</si>
  <si>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</si>
  <si>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</si>
  <si>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</si>
  <si>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</si>
  <si>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</si>
  <si>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</si>
  <si>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</si>
  <si>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</si>
  <si>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</si>
  <si>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</si>
  <si>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</si>
  <si>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</si>
  <si>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</si>
  <si>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</si>
  <si>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</si>
  <si>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</si>
  <si>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</si>
  <si>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</si>
  <si>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</si>
  <si>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</si>
  <si>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</si>
  <si>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</si>
  <si>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</si>
  <si>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</si>
  <si>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</si>
  <si>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</si>
  <si>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</si>
  <si>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</si>
  <si>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</si>
  <si>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</si>
  <si>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</si>
  <si>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</si>
  <si>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</si>
  <si>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</si>
  <si>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</si>
  <si>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</si>
  <si>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</si>
  <si>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</si>
  <si>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</si>
  <si>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</si>
  <si>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</si>
  <si>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</si>
  <si>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</si>
  <si>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</si>
  <si>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</si>
  <si>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</si>
  <si>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</si>
  <si>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</si>
  <si>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</si>
  <si>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</si>
  <si>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</si>
  <si>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</si>
  <si>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</si>
  <si>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</si>
  <si>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</si>
  <si>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</si>
  <si>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</si>
  <si>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</si>
  <si>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</si>
  <si>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</si>
  <si>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</si>
  <si>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</si>
  <si>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</si>
  <si>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</si>
  <si>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</si>
  <si>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</si>
  <si>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</si>
  <si>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</si>
  <si>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</si>
  <si>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</si>
  <si>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</si>
  <si>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</si>
  <si>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</si>
  <si>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</si>
  <si>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</si>
  <si>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</si>
  <si>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</si>
  <si>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</si>
  <si>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</si>
  <si>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</si>
  <si>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</si>
  <si>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</si>
  <si>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</si>
  <si>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</si>
  <si>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</si>
  <si>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</si>
  <si>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</si>
  <si>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</si>
  <si>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</si>
  <si>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</si>
  <si>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</si>
  <si>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</si>
  <si>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</si>
  <si>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</si>
  <si>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</si>
  <si>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</si>
  <si>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</si>
  <si>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</si>
  <si>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</si>
  <si>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</si>
  <si>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</si>
  <si>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</si>
  <si>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</si>
  <si>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</si>
  <si>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</si>
  <si>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</si>
  <si>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</si>
  <si>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</si>
  <si>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</si>
  <si>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</si>
  <si>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</si>
  <si>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</si>
  <si>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</si>
  <si>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</si>
  <si>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</si>
  <si>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</si>
  <si>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</si>
  <si>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</si>
  <si>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</si>
  <si>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</si>
  <si>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</si>
  <si>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</si>
  <si>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</si>
  <si>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</si>
  <si>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</si>
  <si>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</si>
  <si>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</si>
  <si>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</si>
  <si>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</si>
  <si>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</si>
  <si>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</si>
  <si>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</si>
  <si>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</si>
  <si>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</si>
  <si>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</si>
  <si>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</si>
  <si>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</si>
  <si>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</si>
  <si>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</si>
  <si>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</si>
  <si>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</si>
  <si>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</si>
  <si>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</si>
  <si>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</si>
  <si>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</si>
  <si>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</si>
  <si>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</si>
  <si>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</si>
  <si>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</si>
  <si>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</si>
  <si>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</si>
  <si>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</si>
  <si>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</si>
  <si>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</si>
  <si>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</si>
  <si>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</si>
  <si>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</si>
  <si>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</si>
  <si>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</si>
  <si>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</si>
  <si>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</si>
  <si>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</si>
  <si>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</si>
  <si>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</si>
  <si>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</si>
  <si>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</si>
  <si>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</si>
  <si>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</si>
  <si>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</si>
  <si>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</si>
  <si>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</si>
  <si>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</si>
  <si>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</si>
  <si>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</si>
  <si>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</si>
  <si>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</si>
  <si>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</si>
  <si>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</si>
  <si>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</si>
  <si>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</si>
  <si>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</si>
  <si>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</si>
  <si>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</si>
  <si>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</si>
  <si>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</si>
  <si>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</si>
  <si>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</si>
  <si>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</si>
  <si>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</si>
  <si>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</si>
  <si>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</si>
  <si>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</si>
  <si>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</si>
  <si>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</si>
  <si>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</si>
  <si>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</si>
  <si>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</si>
  <si>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</si>
  <si>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</si>
  <si>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</si>
  <si>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</si>
  <si>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</si>
  <si>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</si>
  <si>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</si>
  <si>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</si>
  <si>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</si>
  <si>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</si>
  <si>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</si>
  <si>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</si>
  <si>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</si>
  <si>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</si>
  <si>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</si>
  <si>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</si>
  <si>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</si>
  <si>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</si>
  <si>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</si>
  <si>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</si>
  <si>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</si>
  <si>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</si>
  <si>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</si>
  <si>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</si>
  <si>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</si>
  <si>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</si>
  <si>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</si>
  <si>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</si>
  <si>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</si>
  <si>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</si>
  <si>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</si>
  <si>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</si>
  <si>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</si>
  <si>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</si>
  <si>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</si>
  <si>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</si>
  <si>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</si>
  <si>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</si>
  <si>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</si>
  <si>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</si>
  <si>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</si>
  <si>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</si>
  <si>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</si>
  <si>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</si>
  <si>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</si>
  <si>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</si>
  <si>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</si>
  <si>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</si>
  <si>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</si>
  <si>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</si>
  <si>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</si>
  <si>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</si>
  <si>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</si>
  <si>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</si>
  <si>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</si>
  <si>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</si>
  <si>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</si>
  <si>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</si>
  <si>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</si>
  <si>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</si>
  <si>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</si>
  <si>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</si>
  <si>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</si>
  <si>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</si>
  <si>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</si>
  <si>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</si>
  <si>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</si>
  <si>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</si>
  <si>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</si>
  <si>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</si>
  <si>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</si>
  <si>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</si>
  <si>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</si>
  <si>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</si>
  <si>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</si>
  <si>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</si>
  <si>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</si>
  <si>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</si>
  <si>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</si>
  <si>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</si>
  <si>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</si>
  <si>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</si>
  <si>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</si>
  <si>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</si>
  <si>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</si>
  <si>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</si>
  <si>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</si>
  <si>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</si>
  <si>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</si>
  <si>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</si>
  <si>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</si>
  <si>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</si>
  <si>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</si>
  <si>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</si>
  <si>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</si>
  <si>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</si>
  <si>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</si>
  <si>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</si>
  <si>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</si>
  <si>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</si>
  <si>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</si>
  <si>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</si>
  <si>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</si>
  <si>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</si>
  <si>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</si>
  <si>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</si>
  <si>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</si>
  <si>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</si>
  <si>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</si>
  <si>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</si>
  <si>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</si>
  <si>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</si>
  <si>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</si>
  <si>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</si>
  <si>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</si>
  <si>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</si>
  <si>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</si>
  <si>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</si>
  <si>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</si>
  <si>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</si>
  <si>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</si>
  <si>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</si>
  <si>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</si>
  <si>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</si>
  <si>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</si>
  <si>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</si>
  <si>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</si>
  <si>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</si>
  <si>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</si>
  <si>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</si>
  <si>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</si>
  <si>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</si>
  <si>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</si>
  <si>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</si>
  <si>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</si>
  <si>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</si>
  <si>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</si>
  <si>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</si>
  <si>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</si>
  <si>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</si>
  <si>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</si>
  <si>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</si>
  <si>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</si>
  <si>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</si>
  <si>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</si>
  <si>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</si>
  <si>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</si>
  <si>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</si>
  <si>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</si>
  <si>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</si>
  <si>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</si>
  <si>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</si>
  <si>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</si>
  <si>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</si>
  <si>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</si>
  <si>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</si>
  <si>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</si>
  <si>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</si>
  <si>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</si>
  <si>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</si>
  <si>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</si>
  <si>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</si>
  <si>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</si>
  <si>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</si>
  <si>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</si>
  <si>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</si>
  <si>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</si>
  <si>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</si>
  <si>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</si>
  <si>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</si>
  <si>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</si>
  <si>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</si>
  <si>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</si>
  <si>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</si>
  <si>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</si>
  <si>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</si>
  <si>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</si>
  <si>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</si>
  <si>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</si>
  <si>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</si>
  <si>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</si>
  <si>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</si>
  <si>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</si>
  <si>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</si>
  <si>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</si>
  <si>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</si>
  <si>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</si>
  <si>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</si>
  <si>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</si>
  <si>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</si>
  <si>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</si>
  <si>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</si>
  <si>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</si>
  <si>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</si>
  <si>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</si>
  <si>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</si>
  <si>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</si>
  <si>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</si>
  <si>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</si>
  <si>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</si>
  <si>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</si>
  <si>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</si>
  <si>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</si>
  <si>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</si>
  <si>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</si>
  <si>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</si>
  <si>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</si>
  <si>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</si>
  <si>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</si>
  <si>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</si>
  <si>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</si>
  <si>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</si>
  <si>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</si>
  <si>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</si>
  <si>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</si>
  <si>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</si>
  <si>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</si>
  <si>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</si>
  <si>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</si>
  <si>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</si>
  <si>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</si>
  <si>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</si>
  <si>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</si>
  <si>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</si>
  <si>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</si>
  <si>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</si>
  <si>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</si>
  <si>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</si>
  <si>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</si>
  <si>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</si>
  <si>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</si>
  <si>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</si>
  <si>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</si>
  <si>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</si>
  <si>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</si>
  <si>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</si>
  <si>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</si>
  <si>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</si>
  <si>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</si>
  <si>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</si>
  <si>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</si>
  <si>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</si>
  <si>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</si>
  <si>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</si>
  <si>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</si>
  <si>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</si>
  <si>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</si>
  <si>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</si>
  <si>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</si>
  <si>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</si>
  <si>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</si>
  <si>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</si>
  <si>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</si>
  <si>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</si>
  <si>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</si>
  <si>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</si>
  <si>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</si>
  <si>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</si>
  <si>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</si>
  <si>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</si>
  <si>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</si>
  <si>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</si>
  <si>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</si>
  <si>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</si>
  <si>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</si>
  <si>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</si>
  <si>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</si>
  <si>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</si>
  <si>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</si>
  <si>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</si>
  <si>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</si>
  <si>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</si>
  <si>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</si>
  <si>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</si>
  <si>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</si>
  <si>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</si>
  <si>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</si>
  <si>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</si>
  <si>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</si>
  <si>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</si>
  <si>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</si>
  <si>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</si>
  <si>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</si>
  <si>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</si>
  <si>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</si>
  <si>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</si>
  <si>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</si>
  <si>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</si>
  <si>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</si>
  <si>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</si>
  <si>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</si>
  <si>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</si>
  <si>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</si>
  <si>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</si>
  <si>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</si>
  <si>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</si>
  <si>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</si>
  <si>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</si>
  <si>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</si>
  <si>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</si>
  <si>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</si>
  <si>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</si>
  <si>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</si>
  <si>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</si>
  <si>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</si>
  <si>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</si>
  <si>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</si>
  <si>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</si>
  <si>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</si>
  <si>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</si>
  <si>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</si>
  <si>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</si>
  <si>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</si>
  <si>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</si>
  <si>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</si>
  <si>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</si>
  <si>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</si>
  <si>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</si>
  <si>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</si>
  <si>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</si>
  <si>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</si>
  <si>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</si>
  <si>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</si>
  <si>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</si>
  <si>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</si>
  <si>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</si>
  <si>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</si>
  <si>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</si>
  <si>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</si>
  <si>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</si>
  <si>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</si>
  <si>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</si>
  <si>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</si>
  <si>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</si>
  <si>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</si>
  <si>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</si>
  <si>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</si>
  <si>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</si>
  <si>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</si>
  <si>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</si>
  <si>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</si>
  <si>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</si>
  <si>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</si>
  <si>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</si>
  <si>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</si>
  <si>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</si>
  <si>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</si>
  <si>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</si>
  <si>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</si>
  <si>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</si>
  <si>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</si>
  <si>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</si>
  <si>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</si>
  <si>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</si>
  <si>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</si>
  <si>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</si>
  <si>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</si>
  <si>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</si>
  <si>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</si>
  <si>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</si>
  <si>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</si>
  <si>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</si>
  <si>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</si>
  <si>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</si>
  <si>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</si>
  <si>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</si>
  <si>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</si>
  <si>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</si>
  <si>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</si>
  <si>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</si>
  <si>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</si>
  <si>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</si>
  <si>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</si>
  <si>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</si>
  <si>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</si>
  <si>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</si>
  <si>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</si>
  <si>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</si>
  <si>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</si>
  <si>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</si>
  <si>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</si>
  <si>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</si>
  <si>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</si>
  <si>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</si>
  <si>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</si>
  <si>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</si>
  <si>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</si>
  <si>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</si>
  <si>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</si>
  <si>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</si>
  <si>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</si>
  <si>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</si>
  <si>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</si>
  <si>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</si>
  <si>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</si>
  <si>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</si>
  <si>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</si>
  <si>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</si>
  <si>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</si>
  <si>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</si>
  <si>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</si>
  <si>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</si>
  <si>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</si>
  <si>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</si>
  <si>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</si>
  <si>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</si>
  <si>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</si>
  <si>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</si>
  <si>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</si>
  <si>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</si>
  <si>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</si>
  <si>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</si>
  <si>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</si>
  <si>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</si>
  <si>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</si>
  <si>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</si>
  <si>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</si>
  <si>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</si>
  <si>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</si>
  <si>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</si>
  <si>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</si>
  <si>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</si>
  <si>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</si>
  <si>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</si>
  <si>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</si>
  <si>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</si>
  <si>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</si>
  <si>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</si>
  <si>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</si>
  <si>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</si>
  <si>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</si>
  <si>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</si>
  <si>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</si>
  <si>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</si>
  <si>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</si>
  <si>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</si>
  <si>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</si>
  <si>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</si>
  <si>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</si>
  <si>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</si>
  <si>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</si>
  <si>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</si>
  <si>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</si>
  <si>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</si>
  <si>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</si>
  <si>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</si>
  <si>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</si>
  <si>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</si>
  <si>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</si>
  <si>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</si>
  <si>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</si>
  <si>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</si>
  <si>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</si>
  <si>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</si>
  <si>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</si>
  <si>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</si>
  <si>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</si>
  <si>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</si>
  <si>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</si>
  <si>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</si>
  <si>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</si>
  <si>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</si>
  <si>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</si>
  <si>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</si>
  <si>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</si>
  <si>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</si>
  <si>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</si>
  <si>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</si>
  <si>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</si>
  <si>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</si>
  <si>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</si>
  <si>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</si>
  <si>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</si>
  <si>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</si>
  <si>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</si>
  <si>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</si>
  <si>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</si>
  <si>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</si>
  <si>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</si>
  <si>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</si>
  <si>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</si>
  <si>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</si>
  <si>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</si>
  <si>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</si>
  <si>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</si>
  <si>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</si>
  <si>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</si>
  <si>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</si>
  <si>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Exeter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</si>
</sst>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173</v>
      </c>
      <c r="C2" s="21">
        <v>173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548140.81999999995</v>
      </c>
      <c r="G9" s="18"/>
      <c r="H9" s="18"/>
      <c r="I9" s="18"/>
      <c r="J9" s="67">
        <f>SUM(I438)</f>
        <v>2464338.36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92095.19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1035.6300000000001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92520.19</v>
      </c>
      <c r="G13" s="18">
        <v>249513.62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1946.28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734702.48</v>
      </c>
      <c r="G19" s="41">
        <f>SUM(G9:G18)</f>
        <v>249513.62</v>
      </c>
      <c r="H19" s="41">
        <f>SUM(H9:H18)</f>
        <v>1035.6300000000001</v>
      </c>
      <c r="I19" s="41">
        <f>SUM(I9:I18)</f>
        <v>0</v>
      </c>
      <c r="J19" s="41">
        <f>SUM(J9:J18)</f>
        <v>2464338.36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1035.6300000000001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252799.56</v>
      </c>
      <c r="G23" s="18">
        <v>249513.62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160435.88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4345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10083.73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428699.8</v>
      </c>
      <c r="G32" s="41">
        <f>SUM(G22:G31)</f>
        <v>249513.62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1035.6300000000001</v>
      </c>
      <c r="I47" s="18"/>
      <c r="J47" s="13">
        <f>SUM(I458)</f>
        <v>2464338.36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306002.68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306002.68</v>
      </c>
      <c r="G50" s="41">
        <f>SUM(G35:G49)</f>
        <v>0</v>
      </c>
      <c r="H50" s="41">
        <f>SUM(H35:H49)</f>
        <v>1035.6300000000001</v>
      </c>
      <c r="I50" s="41">
        <f>SUM(I35:I49)</f>
        <v>0</v>
      </c>
      <c r="J50" s="41">
        <f>SUM(J35:J49)</f>
        <v>2464338.36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734702.48</v>
      </c>
      <c r="G51" s="41">
        <f>G50+G32</f>
        <v>249513.62</v>
      </c>
      <c r="H51" s="41">
        <f>H50+H32</f>
        <v>1035.6300000000001</v>
      </c>
      <c r="I51" s="41">
        <f>I50+I32</f>
        <v>0</v>
      </c>
      <c r="J51" s="41">
        <f>J50+J32</f>
        <v>2464338.36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10311814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10311814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4500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4500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6150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6150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53.85</v>
      </c>
      <c r="G95" s="18"/>
      <c r="H95" s="18"/>
      <c r="I95" s="18"/>
      <c r="J95" s="18">
        <v>17657.63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154122.75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11421</v>
      </c>
      <c r="G97" s="24" t="s">
        <v>289</v>
      </c>
      <c r="H97" s="18">
        <v>13783.35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33468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53630.1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98572.95</v>
      </c>
      <c r="G110" s="41">
        <f>SUM(G95:G109)</f>
        <v>154122.75</v>
      </c>
      <c r="H110" s="41">
        <f>SUM(H95:H109)</f>
        <v>13783.35</v>
      </c>
      <c r="I110" s="41">
        <f>SUM(I95:I109)</f>
        <v>0</v>
      </c>
      <c r="J110" s="41">
        <f>SUM(J95:J109)</f>
        <v>17657.63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10421036.949999999</v>
      </c>
      <c r="G111" s="41">
        <f>G59+G110</f>
        <v>154122.75</v>
      </c>
      <c r="H111" s="41">
        <f>H59+H78+H93+H110</f>
        <v>13783.35</v>
      </c>
      <c r="I111" s="41">
        <f>I59+I110</f>
        <v>0</v>
      </c>
      <c r="J111" s="41">
        <f>J59+J110</f>
        <v>17657.63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1797764.16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1639956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4428.84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3442149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8310.7199999999993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3296.52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8310.7199999999993</v>
      </c>
      <c r="G135" s="41">
        <f>SUM(G122:G134)</f>
        <v>3296.52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3450459.72</v>
      </c>
      <c r="G139" s="41">
        <f>G120+SUM(G135:G136)</f>
        <v>3296.52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84626.47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84626.47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92094.35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35948.699999999997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35948.699999999997</v>
      </c>
      <c r="G161" s="41">
        <f>SUM(G149:G160)</f>
        <v>92094.35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120575.17</v>
      </c>
      <c r="G168" s="41">
        <f>G146+G161+SUM(G162:G167)</f>
        <v>92094.35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478209.88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478209.88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478209.88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14470281.720000001</v>
      </c>
      <c r="G192" s="47">
        <f>G111+G139+G168+G191</f>
        <v>249513.62</v>
      </c>
      <c r="H192" s="47">
        <f>H111+H139+H168+H191</f>
        <v>13783.35</v>
      </c>
      <c r="I192" s="47">
        <f>I111+I139+I168+I191</f>
        <v>0</v>
      </c>
      <c r="J192" s="47">
        <f>J111+J139+J191</f>
        <v>17657.63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4703568.46</v>
      </c>
      <c r="G196" s="18">
        <v>1669190.97</v>
      </c>
      <c r="H196" s="18">
        <v>31598.92</v>
      </c>
      <c r="I196" s="18">
        <v>184496.24</v>
      </c>
      <c r="J196" s="18"/>
      <c r="K196" s="18"/>
      <c r="L196" s="19">
        <f>SUM(F196:K196)</f>
        <v>6588854.5899999999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2096981.68</v>
      </c>
      <c r="G197" s="18">
        <v>744171.78</v>
      </c>
      <c r="H197" s="18">
        <v>141581.43</v>
      </c>
      <c r="I197" s="18">
        <v>21869.24</v>
      </c>
      <c r="J197" s="18">
        <v>11942.04</v>
      </c>
      <c r="K197" s="18"/>
      <c r="L197" s="19">
        <f>SUM(F197:K197)</f>
        <v>3016546.1700000004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42692.04</v>
      </c>
      <c r="G199" s="18">
        <v>15150.45</v>
      </c>
      <c r="H199" s="18"/>
      <c r="I199" s="18">
        <v>1383.28</v>
      </c>
      <c r="J199" s="18"/>
      <c r="K199" s="18"/>
      <c r="L199" s="19">
        <f>SUM(F199:K199)</f>
        <v>59225.770000000004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847197.06</v>
      </c>
      <c r="G201" s="18">
        <v>305120.48</v>
      </c>
      <c r="H201" s="18">
        <v>145239.92000000001</v>
      </c>
      <c r="I201" s="18">
        <v>7134.74</v>
      </c>
      <c r="J201" s="18"/>
      <c r="K201" s="18"/>
      <c r="L201" s="19">
        <f t="shared" ref="L201:L207" si="0">SUM(F201:K201)</f>
        <v>1304692.2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459907.8</v>
      </c>
      <c r="G202" s="18">
        <v>163210.97</v>
      </c>
      <c r="H202" s="18"/>
      <c r="I202" s="18">
        <v>18185.62</v>
      </c>
      <c r="J202" s="18"/>
      <c r="K202" s="18"/>
      <c r="L202" s="19">
        <f t="shared" si="0"/>
        <v>641304.39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31627.1</v>
      </c>
      <c r="G203" s="18">
        <v>11223.75</v>
      </c>
      <c r="H203" s="18">
        <v>339682.09</v>
      </c>
      <c r="I203" s="18"/>
      <c r="J203" s="18"/>
      <c r="K203" s="18"/>
      <c r="L203" s="19">
        <f t="shared" si="0"/>
        <v>382532.94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542351.77</v>
      </c>
      <c r="G204" s="18">
        <v>192468.48000000001</v>
      </c>
      <c r="H204" s="18">
        <v>91207.49</v>
      </c>
      <c r="I204" s="18">
        <v>14747.8</v>
      </c>
      <c r="J204" s="18"/>
      <c r="K204" s="18">
        <v>2721.5</v>
      </c>
      <c r="L204" s="19">
        <f t="shared" si="0"/>
        <v>843497.04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359703.73</v>
      </c>
      <c r="G206" s="18">
        <v>127650.79</v>
      </c>
      <c r="H206" s="18">
        <v>295182.84999999998</v>
      </c>
      <c r="I206" s="18">
        <v>288527.73</v>
      </c>
      <c r="J206" s="18">
        <v>27923.279999999999</v>
      </c>
      <c r="K206" s="18"/>
      <c r="L206" s="19">
        <f t="shared" si="0"/>
        <v>1098988.3799999999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480501.23</v>
      </c>
      <c r="I207" s="18"/>
      <c r="J207" s="18"/>
      <c r="K207" s="18"/>
      <c r="L207" s="19">
        <f t="shared" si="0"/>
        <v>480501.23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9084029.6400000006</v>
      </c>
      <c r="G210" s="41">
        <f t="shared" si="1"/>
        <v>3228187.6700000004</v>
      </c>
      <c r="H210" s="41">
        <f t="shared" si="1"/>
        <v>1524993.9300000002</v>
      </c>
      <c r="I210" s="41">
        <f t="shared" si="1"/>
        <v>536344.64999999991</v>
      </c>
      <c r="J210" s="41">
        <f t="shared" si="1"/>
        <v>39865.32</v>
      </c>
      <c r="K210" s="41">
        <f t="shared" si="1"/>
        <v>2721.5</v>
      </c>
      <c r="L210" s="41">
        <f t="shared" si="1"/>
        <v>14416142.709999997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9084029.6400000006</v>
      </c>
      <c r="G256" s="41">
        <f t="shared" si="8"/>
        <v>3228187.6700000004</v>
      </c>
      <c r="H256" s="41">
        <f t="shared" si="8"/>
        <v>1524993.9300000002</v>
      </c>
      <c r="I256" s="41">
        <f t="shared" si="8"/>
        <v>536344.64999999991</v>
      </c>
      <c r="J256" s="41">
        <f t="shared" si="8"/>
        <v>39865.32</v>
      </c>
      <c r="K256" s="41">
        <f t="shared" si="8"/>
        <v>2721.5</v>
      </c>
      <c r="L256" s="41">
        <f t="shared" si="8"/>
        <v>14416142.709999997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9084029.6400000006</v>
      </c>
      <c r="G270" s="42">
        <f t="shared" si="11"/>
        <v>3228187.6700000004</v>
      </c>
      <c r="H270" s="42">
        <f t="shared" si="11"/>
        <v>1524993.9300000002</v>
      </c>
      <c r="I270" s="42">
        <f t="shared" si="11"/>
        <v>536344.64999999991</v>
      </c>
      <c r="J270" s="42">
        <f t="shared" si="11"/>
        <v>39865.32</v>
      </c>
      <c r="K270" s="42">
        <f t="shared" si="11"/>
        <v>2721.5</v>
      </c>
      <c r="L270" s="42">
        <f t="shared" si="11"/>
        <v>14416142.709999997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10980</v>
      </c>
      <c r="G280" s="18">
        <v>1613.76</v>
      </c>
      <c r="H280" s="18"/>
      <c r="I280" s="18">
        <v>153.96</v>
      </c>
      <c r="J280" s="18"/>
      <c r="K280" s="18"/>
      <c r="L280" s="19">
        <f t="shared" ref="L280:L286" si="12">SUM(F280:K280)</f>
        <v>12747.72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10980</v>
      </c>
      <c r="G289" s="42">
        <f t="shared" si="13"/>
        <v>1613.76</v>
      </c>
      <c r="H289" s="42">
        <f t="shared" si="13"/>
        <v>0</v>
      </c>
      <c r="I289" s="42">
        <f t="shared" si="13"/>
        <v>153.96</v>
      </c>
      <c r="J289" s="42">
        <f t="shared" si="13"/>
        <v>0</v>
      </c>
      <c r="K289" s="42">
        <f t="shared" si="13"/>
        <v>0</v>
      </c>
      <c r="L289" s="41">
        <f t="shared" si="13"/>
        <v>12747.72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10980</v>
      </c>
      <c r="G337" s="41">
        <f t="shared" si="20"/>
        <v>1613.76</v>
      </c>
      <c r="H337" s="41">
        <f t="shared" si="20"/>
        <v>0</v>
      </c>
      <c r="I337" s="41">
        <f t="shared" si="20"/>
        <v>153.96</v>
      </c>
      <c r="J337" s="41">
        <f t="shared" si="20"/>
        <v>0</v>
      </c>
      <c r="K337" s="41">
        <f t="shared" si="20"/>
        <v>0</v>
      </c>
      <c r="L337" s="41">
        <f t="shared" si="20"/>
        <v>12747.72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10980</v>
      </c>
      <c r="G351" s="41">
        <f>G337</f>
        <v>1613.76</v>
      </c>
      <c r="H351" s="41">
        <f>H337</f>
        <v>0</v>
      </c>
      <c r="I351" s="41">
        <f>I337</f>
        <v>153.96</v>
      </c>
      <c r="J351" s="41">
        <f>J337</f>
        <v>0</v>
      </c>
      <c r="K351" s="47">
        <f>K337+K350</f>
        <v>0</v>
      </c>
      <c r="L351" s="41">
        <f>L337+L350</f>
        <v>12747.72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104884.46</v>
      </c>
      <c r="G357" s="18">
        <v>47648.95</v>
      </c>
      <c r="H357" s="18">
        <v>4454.72</v>
      </c>
      <c r="I357" s="18">
        <v>88964.81</v>
      </c>
      <c r="J357" s="18">
        <v>2475.9899999999998</v>
      </c>
      <c r="K357" s="18">
        <v>1084.69</v>
      </c>
      <c r="L357" s="13">
        <f>SUM(F357:K357)</f>
        <v>249513.62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104884.46</v>
      </c>
      <c r="G361" s="47">
        <f t="shared" si="22"/>
        <v>47648.95</v>
      </c>
      <c r="H361" s="47">
        <f t="shared" si="22"/>
        <v>4454.72</v>
      </c>
      <c r="I361" s="47">
        <f t="shared" si="22"/>
        <v>88964.81</v>
      </c>
      <c r="J361" s="47">
        <f t="shared" si="22"/>
        <v>2475.9899999999998</v>
      </c>
      <c r="K361" s="47">
        <f t="shared" si="22"/>
        <v>1084.69</v>
      </c>
      <c r="L361" s="47">
        <f t="shared" si="22"/>
        <v>249513.62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87400.27</v>
      </c>
      <c r="G366" s="18"/>
      <c r="H366" s="18"/>
      <c r="I366" s="56">
        <f>SUM(F366:H366)</f>
        <v>87400.27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1564.54</v>
      </c>
      <c r="G367" s="63"/>
      <c r="H367" s="63"/>
      <c r="I367" s="56">
        <f>SUM(F367:H367)</f>
        <v>1564.54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88964.81</v>
      </c>
      <c r="G368" s="47">
        <f>SUM(G366:G367)</f>
        <v>0</v>
      </c>
      <c r="H368" s="47">
        <f>SUM(H366:H367)</f>
        <v>0</v>
      </c>
      <c r="I368" s="47">
        <f>SUM(I366:I367)</f>
        <v>88964.81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1532.47</v>
      </c>
      <c r="I386" s="18"/>
      <c r="J386" s="24" t="s">
        <v>289</v>
      </c>
      <c r="K386" s="24" t="s">
        <v>289</v>
      </c>
      <c r="L386" s="56">
        <f t="shared" ref="L386:L391" si="25">SUM(F386:K386)</f>
        <v>1532.47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617.33000000000004</v>
      </c>
      <c r="I387" s="18"/>
      <c r="J387" s="24" t="s">
        <v>289</v>
      </c>
      <c r="K387" s="24" t="s">
        <v>289</v>
      </c>
      <c r="L387" s="56">
        <f t="shared" si="25"/>
        <v>617.33000000000004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909.87</v>
      </c>
      <c r="I388" s="18"/>
      <c r="J388" s="24" t="s">
        <v>289</v>
      </c>
      <c r="K388" s="24" t="s">
        <v>289</v>
      </c>
      <c r="L388" s="56">
        <f t="shared" si="25"/>
        <v>909.87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14066.86</v>
      </c>
      <c r="I391" s="18"/>
      <c r="J391" s="24" t="s">
        <v>289</v>
      </c>
      <c r="K391" s="24" t="s">
        <v>289</v>
      </c>
      <c r="L391" s="56">
        <f t="shared" si="25"/>
        <v>14066.86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17126.53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17126.53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297.70999999999998</v>
      </c>
      <c r="I394" s="18"/>
      <c r="J394" s="24" t="s">
        <v>289</v>
      </c>
      <c r="K394" s="24" t="s">
        <v>289</v>
      </c>
      <c r="L394" s="56">
        <f t="shared" ref="L394:L399" si="26">SUM(F394:K394)</f>
        <v>297.70999999999998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233.39</v>
      </c>
      <c r="I399" s="18"/>
      <c r="J399" s="24" t="s">
        <v>289</v>
      </c>
      <c r="K399" s="24" t="s">
        <v>289</v>
      </c>
      <c r="L399" s="56">
        <f t="shared" si="26"/>
        <v>233.39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531.09999999999991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531.09999999999991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17657.629999999997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17657.629999999997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478209.88</v>
      </c>
      <c r="L425" s="56">
        <f t="shared" si="29"/>
        <v>478209.88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478209.88</v>
      </c>
      <c r="L426" s="47">
        <f t="shared" si="30"/>
        <v>478209.88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478209.88</v>
      </c>
      <c r="L433" s="47">
        <f t="shared" si="32"/>
        <v>478209.88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2359120.2999999998</v>
      </c>
      <c r="G438" s="18">
        <v>105218.06</v>
      </c>
      <c r="H438" s="18"/>
      <c r="I438" s="56">
        <f t="shared" ref="I438:I444" si="33">SUM(F438:H438)</f>
        <v>2464338.36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2359120.2999999998</v>
      </c>
      <c r="G445" s="13">
        <f>SUM(G438:G444)</f>
        <v>105218.06</v>
      </c>
      <c r="H445" s="13">
        <f>SUM(H438:H444)</f>
        <v>0</v>
      </c>
      <c r="I445" s="13">
        <f>SUM(I438:I444)</f>
        <v>2464338.36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2359120.2999999998</v>
      </c>
      <c r="G458" s="18">
        <v>105218.06</v>
      </c>
      <c r="H458" s="18"/>
      <c r="I458" s="56">
        <f t="shared" si="34"/>
        <v>2464338.36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2359120.2999999998</v>
      </c>
      <c r="G459" s="83">
        <f>SUM(G453:G458)</f>
        <v>105218.06</v>
      </c>
      <c r="H459" s="83">
        <f>SUM(H453:H458)</f>
        <v>0</v>
      </c>
      <c r="I459" s="83">
        <f>SUM(I453:I458)</f>
        <v>2464338.36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2359120.2999999998</v>
      </c>
      <c r="G460" s="42">
        <f>G451+G459</f>
        <v>105218.06</v>
      </c>
      <c r="H460" s="42">
        <f>H451+H459</f>
        <v>0</v>
      </c>
      <c r="I460" s="42">
        <f>I451+I459</f>
        <v>2464338.36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251863.67</v>
      </c>
      <c r="G464" s="18"/>
      <c r="H464" s="18"/>
      <c r="I464" s="18"/>
      <c r="J464" s="18">
        <v>2924890.61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14470281.720000001</v>
      </c>
      <c r="G467" s="18">
        <v>249513.62</v>
      </c>
      <c r="H467" s="18">
        <v>13783.35</v>
      </c>
      <c r="I467" s="18"/>
      <c r="J467" s="18">
        <v>17657.63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14470281.720000001</v>
      </c>
      <c r="G469" s="53">
        <f>SUM(G467:G468)</f>
        <v>249513.62</v>
      </c>
      <c r="H469" s="53">
        <f>SUM(H467:H468)</f>
        <v>13783.35</v>
      </c>
      <c r="I469" s="53">
        <f>SUM(I467:I468)</f>
        <v>0</v>
      </c>
      <c r="J469" s="53">
        <f>SUM(J467:J468)</f>
        <v>17657.63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14416142.710000001</v>
      </c>
      <c r="G471" s="18">
        <v>249513.62</v>
      </c>
      <c r="H471" s="18">
        <v>12747.72</v>
      </c>
      <c r="I471" s="18"/>
      <c r="J471" s="18">
        <v>478209.88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14416142.710000001</v>
      </c>
      <c r="G473" s="53">
        <f>SUM(G471:G472)</f>
        <v>249513.62</v>
      </c>
      <c r="H473" s="53">
        <f>SUM(H471:H472)</f>
        <v>12747.72</v>
      </c>
      <c r="I473" s="53">
        <f>SUM(I471:I472)</f>
        <v>0</v>
      </c>
      <c r="J473" s="53">
        <f>SUM(J471:J472)</f>
        <v>478209.88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306002.6799999997</v>
      </c>
      <c r="G475" s="53">
        <f>(G464+G469)- G473</f>
        <v>0</v>
      </c>
      <c r="H475" s="53">
        <f>(H464+H469)- H473</f>
        <v>1035.630000000001</v>
      </c>
      <c r="I475" s="53">
        <f>(I464+I469)- I473</f>
        <v>0</v>
      </c>
      <c r="J475" s="53">
        <f>(J464+J469)- J473</f>
        <v>2464338.36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2096981.68</v>
      </c>
      <c r="G520" s="18">
        <v>744171.78</v>
      </c>
      <c r="H520" s="18">
        <v>141581.43</v>
      </c>
      <c r="I520" s="18">
        <v>21869.24</v>
      </c>
      <c r="J520" s="18">
        <v>11942.04</v>
      </c>
      <c r="K520" s="18"/>
      <c r="L520" s="88">
        <f>SUM(F520:K520)</f>
        <v>3016546.1700000004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2096981.68</v>
      </c>
      <c r="G523" s="108">
        <f t="shared" ref="G523:L523" si="36">SUM(G520:G522)</f>
        <v>744171.78</v>
      </c>
      <c r="H523" s="108">
        <f t="shared" si="36"/>
        <v>141581.43</v>
      </c>
      <c r="I523" s="108">
        <f t="shared" si="36"/>
        <v>21869.24</v>
      </c>
      <c r="J523" s="108">
        <f t="shared" si="36"/>
        <v>11942.04</v>
      </c>
      <c r="K523" s="108">
        <f t="shared" si="36"/>
        <v>0</v>
      </c>
      <c r="L523" s="89">
        <f t="shared" si="36"/>
        <v>3016546.1700000004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562650.53</v>
      </c>
      <c r="G525" s="18">
        <v>196927.69</v>
      </c>
      <c r="H525" s="18">
        <v>145581.43</v>
      </c>
      <c r="I525" s="18"/>
      <c r="J525" s="18"/>
      <c r="K525" s="18"/>
      <c r="L525" s="88">
        <f>SUM(F525:K525)</f>
        <v>905159.64999999991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562650.53</v>
      </c>
      <c r="G528" s="89">
        <f t="shared" ref="G528:L528" si="37">SUM(G525:G527)</f>
        <v>196927.69</v>
      </c>
      <c r="H528" s="89">
        <f t="shared" si="37"/>
        <v>145581.43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905159.64999999991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24327.1</v>
      </c>
      <c r="G530" s="18">
        <v>8514.49</v>
      </c>
      <c r="H530" s="18"/>
      <c r="I530" s="18"/>
      <c r="J530" s="18"/>
      <c r="K530" s="18"/>
      <c r="L530" s="88">
        <f>SUM(F530:K530)</f>
        <v>32841.589999999997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24327.1</v>
      </c>
      <c r="G533" s="89">
        <f t="shared" ref="G533:L533" si="38">SUM(G530:G532)</f>
        <v>8514.49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32841.589999999997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125073.24</v>
      </c>
      <c r="I540" s="18"/>
      <c r="J540" s="18"/>
      <c r="K540" s="18"/>
      <c r="L540" s="88">
        <f>SUM(F540:K540)</f>
        <v>125073.24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125073.24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125073.24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2683959.31</v>
      </c>
      <c r="G544" s="89">
        <f t="shared" ref="G544:L544" si="41">G523+G528+G533+G538+G543</f>
        <v>949613.96</v>
      </c>
      <c r="H544" s="89">
        <f t="shared" si="41"/>
        <v>412236.1</v>
      </c>
      <c r="I544" s="89">
        <f t="shared" si="41"/>
        <v>21869.24</v>
      </c>
      <c r="J544" s="89">
        <f t="shared" si="41"/>
        <v>11942.04</v>
      </c>
      <c r="K544" s="89">
        <f t="shared" si="41"/>
        <v>0</v>
      </c>
      <c r="L544" s="89">
        <f t="shared" si="41"/>
        <v>4079620.6500000004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3016546.1700000004</v>
      </c>
      <c r="G548" s="87">
        <f>L525</f>
        <v>905159.64999999991</v>
      </c>
      <c r="H548" s="87">
        <f>L530</f>
        <v>32841.589999999997</v>
      </c>
      <c r="I548" s="87">
        <f>L535</f>
        <v>0</v>
      </c>
      <c r="J548" s="87">
        <f>L540</f>
        <v>125073.24</v>
      </c>
      <c r="K548" s="87">
        <f>SUM(F548:J548)</f>
        <v>4079620.6500000004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3016546.1700000004</v>
      </c>
      <c r="G551" s="89">
        <f t="shared" si="42"/>
        <v>905159.64999999991</v>
      </c>
      <c r="H551" s="89">
        <f t="shared" si="42"/>
        <v>32841.589999999997</v>
      </c>
      <c r="I551" s="89">
        <f t="shared" si="42"/>
        <v>0</v>
      </c>
      <c r="J551" s="89">
        <f t="shared" si="42"/>
        <v>125073.24</v>
      </c>
      <c r="K551" s="89">
        <f t="shared" si="42"/>
        <v>4079620.6500000004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142228.22</v>
      </c>
      <c r="G581" s="18"/>
      <c r="H581" s="18"/>
      <c r="I581" s="87">
        <f t="shared" si="47"/>
        <v>142228.22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355427.99</v>
      </c>
      <c r="I590" s="18"/>
      <c r="J590" s="18"/>
      <c r="K590" s="104">
        <f t="shared" ref="K590:K596" si="48">SUM(H590:J590)</f>
        <v>355427.99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125073.24</v>
      </c>
      <c r="I591" s="18"/>
      <c r="J591" s="18"/>
      <c r="K591" s="104">
        <f t="shared" si="48"/>
        <v>125073.24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480501.23</v>
      </c>
      <c r="I597" s="108">
        <f>SUM(I590:I596)</f>
        <v>0</v>
      </c>
      <c r="J597" s="108">
        <f>SUM(J590:J596)</f>
        <v>0</v>
      </c>
      <c r="K597" s="108">
        <f>SUM(K590:K596)</f>
        <v>480501.23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39865.32</v>
      </c>
      <c r="I603" s="18"/>
      <c r="J603" s="18"/>
      <c r="K603" s="104">
        <f>SUM(H603:J603)</f>
        <v>39865.32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39865.32</v>
      </c>
      <c r="I604" s="108">
        <f>SUM(I601:I603)</f>
        <v>0</v>
      </c>
      <c r="J604" s="108">
        <f>SUM(J601:J603)</f>
        <v>0</v>
      </c>
      <c r="K604" s="108">
        <f>SUM(K601:K603)</f>
        <v>39865.32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734702.48</v>
      </c>
      <c r="H616" s="109">
        <f>SUM(F51)</f>
        <v>734702.48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249513.62</v>
      </c>
      <c r="H617" s="109">
        <f>SUM(G51)</f>
        <v>249513.62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1035.6300000000001</v>
      </c>
      <c r="H618" s="109">
        <f>SUM(H51)</f>
        <v>1035.6300000000001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2464338.36</v>
      </c>
      <c r="H620" s="109">
        <f>SUM(J51)</f>
        <v>2464338.36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306002.68</v>
      </c>
      <c r="H621" s="109">
        <f>F475</f>
        <v>306002.6799999997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1035.6300000000001</v>
      </c>
      <c r="H623" s="109">
        <f>H475</f>
        <v>1035.630000000001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2464338.36</v>
      </c>
      <c r="H625" s="109">
        <f>J475</f>
        <v>2464338.36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14470281.720000001</v>
      </c>
      <c r="H626" s="104">
        <f>SUM(F467)</f>
        <v>14470281.720000001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249513.62</v>
      </c>
      <c r="H627" s="104">
        <f>SUM(G467)</f>
        <v>249513.62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13783.35</v>
      </c>
      <c r="H628" s="104">
        <f>SUM(H467)</f>
        <v>13783.35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17657.63</v>
      </c>
      <c r="H630" s="104">
        <f>SUM(J467)</f>
        <v>17657.63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14416142.709999997</v>
      </c>
      <c r="H631" s="104">
        <f>SUM(F471)</f>
        <v>14416142.710000001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12747.72</v>
      </c>
      <c r="H632" s="104">
        <f>SUM(H471)</f>
        <v>12747.72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88964.81</v>
      </c>
      <c r="H633" s="104">
        <f>I368</f>
        <v>88964.81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249513.62</v>
      </c>
      <c r="H634" s="104">
        <f>SUM(G471)</f>
        <v>249513.62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17657.629999999997</v>
      </c>
      <c r="H636" s="164">
        <f>SUM(J467)</f>
        <v>17657.63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478209.88</v>
      </c>
      <c r="H637" s="164">
        <f>SUM(J471)</f>
        <v>478209.88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2359120.2999999998</v>
      </c>
      <c r="H638" s="104">
        <f>SUM(F460)</f>
        <v>2359120.2999999998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105218.06</v>
      </c>
      <c r="H639" s="104">
        <f>SUM(G460)</f>
        <v>105218.06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2464338.36</v>
      </c>
      <c r="H641" s="104">
        <f>SUM(I460)</f>
        <v>2464338.36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17657.63</v>
      </c>
      <c r="H643" s="104">
        <f>H407</f>
        <v>17657.629999999997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17657.63</v>
      </c>
      <c r="H645" s="104">
        <f>L407</f>
        <v>17657.629999999997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480501.23</v>
      </c>
      <c r="H646" s="104">
        <f>L207+L225+L243</f>
        <v>480501.23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39865.32</v>
      </c>
      <c r="H647" s="104">
        <f>(J256+J337)-(J254+J335)</f>
        <v>39865.32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480501.23</v>
      </c>
      <c r="H648" s="104">
        <f>H597</f>
        <v>480501.23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14678404.049999997</v>
      </c>
      <c r="G659" s="19">
        <f>(L228+L308+L358)</f>
        <v>0</v>
      </c>
      <c r="H659" s="19">
        <f>(L246+L327+L359)</f>
        <v>0</v>
      </c>
      <c r="I659" s="19">
        <f>SUM(F659:H659)</f>
        <v>14678404.049999997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154122.75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154122.75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480501.23</v>
      </c>
      <c r="G661" s="19">
        <f>(L225+L305)-(J225+J305)</f>
        <v>0</v>
      </c>
      <c r="H661" s="19">
        <f>(L243+L324)-(J243+J324)</f>
        <v>0</v>
      </c>
      <c r="I661" s="19">
        <f>SUM(F661:H661)</f>
        <v>480501.23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182093.54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182093.54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13861686.529999997</v>
      </c>
      <c r="G663" s="19">
        <f>G659-SUM(G660:G662)</f>
        <v>0</v>
      </c>
      <c r="H663" s="19">
        <f>H659-SUM(H660:H662)</f>
        <v>0</v>
      </c>
      <c r="I663" s="19">
        <f>I659-SUM(I660:I662)</f>
        <v>13861686.529999997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950.36</v>
      </c>
      <c r="G664" s="249"/>
      <c r="H664" s="249"/>
      <c r="I664" s="19">
        <f>SUM(F664:H664)</f>
        <v>950.36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14585.72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14585.72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14585.72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14585.72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Exeter SD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4703568.46</v>
      </c>
      <c r="C9" s="230">
        <f>'DOE25'!G196+'DOE25'!G214+'DOE25'!G232+'DOE25'!G275+'DOE25'!G294+'DOE25'!G313</f>
        <v>1669190.97</v>
      </c>
    </row>
    <row r="10" spans="1:3">
      <c r="A10" t="s">
        <v>779</v>
      </c>
      <c r="B10" s="241">
        <v>4393894.82</v>
      </c>
      <c r="C10" s="241">
        <v>1537933.19</v>
      </c>
    </row>
    <row r="11" spans="1:3">
      <c r="A11" t="s">
        <v>780</v>
      </c>
      <c r="B11" s="241">
        <v>306962.38</v>
      </c>
      <c r="C11" s="241">
        <v>131257.78</v>
      </c>
    </row>
    <row r="12" spans="1:3">
      <c r="A12" t="s">
        <v>781</v>
      </c>
      <c r="B12" s="241">
        <v>2711.26</v>
      </c>
      <c r="C12" s="241">
        <v>0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4703568.46</v>
      </c>
      <c r="C13" s="232">
        <f>SUM(C10:C12)</f>
        <v>1669190.97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2096981.68</v>
      </c>
      <c r="C18" s="230">
        <f>'DOE25'!G197+'DOE25'!G215+'DOE25'!G233+'DOE25'!G276+'DOE25'!G295+'DOE25'!G314</f>
        <v>744171.78</v>
      </c>
    </row>
    <row r="19" spans="1:3">
      <c r="A19" t="s">
        <v>779</v>
      </c>
      <c r="B19" s="241">
        <v>1153904.33</v>
      </c>
      <c r="C19" s="241">
        <v>403866.52</v>
      </c>
    </row>
    <row r="20" spans="1:3">
      <c r="A20" t="s">
        <v>780</v>
      </c>
      <c r="B20" s="241">
        <v>943077.35</v>
      </c>
      <c r="C20" s="241">
        <v>340305.26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2096981.6800000002</v>
      </c>
      <c r="C22" s="232">
        <f>SUM(C19:C21)</f>
        <v>744171.78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42692.04</v>
      </c>
      <c r="C36" s="236">
        <f>'DOE25'!G199+'DOE25'!G217+'DOE25'!G235+'DOE25'!G278+'DOE25'!G297+'DOE25'!G316</f>
        <v>15150.45</v>
      </c>
    </row>
    <row r="37" spans="1:3">
      <c r="A37" t="s">
        <v>779</v>
      </c>
      <c r="B37" s="241">
        <v>42692.04</v>
      </c>
      <c r="C37" s="241">
        <v>15150.45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42692.04</v>
      </c>
      <c r="C40" s="232">
        <f>SUM(C37:C39)</f>
        <v>15150.45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48" activePane="bottomLeft" state="frozen"/>
      <selection pane="bottomLeft" sqref="A1:H5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Exeter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9664626.5299999993</v>
      </c>
      <c r="D5" s="20">
        <f>SUM('DOE25'!L196:L199)+SUM('DOE25'!L214:L217)+SUM('DOE25'!L232:L235)-F5-G5</f>
        <v>9652684.4900000002</v>
      </c>
      <c r="E5" s="244"/>
      <c r="F5" s="256">
        <f>SUM('DOE25'!J196:J199)+SUM('DOE25'!J214:J217)+SUM('DOE25'!J232:J235)</f>
        <v>11942.04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1304692.2</v>
      </c>
      <c r="D6" s="20">
        <f>'DOE25'!L201+'DOE25'!L219+'DOE25'!L237-F6-G6</f>
        <v>1304692.2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641304.39</v>
      </c>
      <c r="D7" s="20">
        <f>'DOE25'!L202+'DOE25'!L220+'DOE25'!L238-F7-G7</f>
        <v>641304.39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307989.96999999997</v>
      </c>
      <c r="D8" s="244"/>
      <c r="E8" s="20">
        <f>'DOE25'!L203+'DOE25'!L221+'DOE25'!L239-F8-G8-D9-D11</f>
        <v>307989.96999999997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28680.09</v>
      </c>
      <c r="D9" s="245">
        <v>28680.09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45862.879999999997</v>
      </c>
      <c r="D11" s="245">
        <v>45862.879999999997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843497.04</v>
      </c>
      <c r="D12" s="20">
        <f>'DOE25'!L204+'DOE25'!L222+'DOE25'!L240-F12-G12</f>
        <v>840775.54</v>
      </c>
      <c r="E12" s="244"/>
      <c r="F12" s="256">
        <f>'DOE25'!J204+'DOE25'!J222+'DOE25'!J240</f>
        <v>0</v>
      </c>
      <c r="G12" s="53">
        <f>'DOE25'!K204+'DOE25'!K222+'DOE25'!K240</f>
        <v>2721.5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1098988.3799999999</v>
      </c>
      <c r="D14" s="20">
        <f>'DOE25'!L206+'DOE25'!L224+'DOE25'!L242-F14-G14</f>
        <v>1071065.0999999999</v>
      </c>
      <c r="E14" s="244"/>
      <c r="F14" s="256">
        <f>'DOE25'!J206+'DOE25'!J224+'DOE25'!J242</f>
        <v>27923.279999999999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480501.23</v>
      </c>
      <c r="D15" s="20">
        <f>'DOE25'!L207+'DOE25'!L225+'DOE25'!L243-F15-G15</f>
        <v>480501.23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162113.34999999998</v>
      </c>
      <c r="D29" s="20">
        <f>'DOE25'!L357+'DOE25'!L358+'DOE25'!L359-'DOE25'!I366-F29-G29</f>
        <v>158552.66999999998</v>
      </c>
      <c r="E29" s="244"/>
      <c r="F29" s="256">
        <f>'DOE25'!J357+'DOE25'!J358+'DOE25'!J359</f>
        <v>2475.9899999999998</v>
      </c>
      <c r="G29" s="53">
        <f>'DOE25'!K357+'DOE25'!K358+'DOE25'!K359</f>
        <v>1084.69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12747.72</v>
      </c>
      <c r="D31" s="20">
        <f>'DOE25'!L289+'DOE25'!L308+'DOE25'!L327+'DOE25'!L332+'DOE25'!L333+'DOE25'!L334-F31-G31</f>
        <v>12747.72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14236866.310000001</v>
      </c>
      <c r="E33" s="247">
        <f>SUM(E5:E31)</f>
        <v>321989.96999999997</v>
      </c>
      <c r="F33" s="247">
        <f>SUM(F5:F31)</f>
        <v>42341.31</v>
      </c>
      <c r="G33" s="247">
        <f>SUM(G5:G31)</f>
        <v>3806.19</v>
      </c>
      <c r="H33" s="247">
        <f>SUM(H5:H31)</f>
        <v>0</v>
      </c>
    </row>
    <row r="35" spans="2:8" ht="12" thickBot="1">
      <c r="B35" s="254" t="s">
        <v>847</v>
      </c>
      <c r="D35" s="255">
        <f>E33</f>
        <v>321989.96999999997</v>
      </c>
      <c r="E35" s="250"/>
    </row>
    <row r="36" spans="2:8" ht="12" thickTop="1">
      <c r="B36" t="s">
        <v>815</v>
      </c>
      <c r="D36" s="20">
        <f>D33</f>
        <v>14236866.310000001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4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Exeter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548140.81999999995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2464338.36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92095.19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1035.6300000000001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92520.19</v>
      </c>
      <c r="D12" s="95">
        <f>'DOE25'!G13</f>
        <v>249513.62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1946.28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734702.48</v>
      </c>
      <c r="D18" s="41">
        <f>SUM(D8:D17)</f>
        <v>249513.62</v>
      </c>
      <c r="E18" s="41">
        <f>SUM(E8:E17)</f>
        <v>1035.6300000000001</v>
      </c>
      <c r="F18" s="41">
        <f>SUM(F8:F17)</f>
        <v>0</v>
      </c>
      <c r="G18" s="41">
        <f>SUM(G8:G17)</f>
        <v>2464338.36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1035.6300000000001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252799.56</v>
      </c>
      <c r="D22" s="95">
        <f>'DOE25'!G23</f>
        <v>249513.62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160435.88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4345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10083.73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428699.8</v>
      </c>
      <c r="D31" s="41">
        <f>SUM(D21:D30)</f>
        <v>249513.62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1035.6300000000001</v>
      </c>
      <c r="F46" s="95">
        <f>'DOE25'!I47</f>
        <v>0</v>
      </c>
      <c r="G46" s="95">
        <f>'DOE25'!J47</f>
        <v>2464338.36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306002.68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306002.68</v>
      </c>
      <c r="D49" s="41">
        <f>SUM(D34:D48)</f>
        <v>0</v>
      </c>
      <c r="E49" s="41">
        <f>SUM(E34:E48)</f>
        <v>1035.6300000000001</v>
      </c>
      <c r="F49" s="41">
        <f>SUM(F34:F48)</f>
        <v>0</v>
      </c>
      <c r="G49" s="41">
        <f>SUM(G34:G48)</f>
        <v>2464338.36</v>
      </c>
      <c r="H49" s="124"/>
      <c r="I49" s="124"/>
    </row>
    <row r="50" spans="1:9" ht="12" thickTop="1">
      <c r="A50" s="38" t="s">
        <v>895</v>
      </c>
      <c r="B50" s="2"/>
      <c r="C50" s="41">
        <f>C49+C31</f>
        <v>734702.48</v>
      </c>
      <c r="D50" s="41">
        <f>D49+D31</f>
        <v>249513.62</v>
      </c>
      <c r="E50" s="41">
        <f>E49+E31</f>
        <v>1035.6300000000001</v>
      </c>
      <c r="F50" s="41">
        <f>F49+F31</f>
        <v>0</v>
      </c>
      <c r="G50" s="41">
        <f>G49+G31</f>
        <v>2464338.36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10311814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4500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6150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53.85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17657.63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154122.75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98519.1</v>
      </c>
      <c r="D60" s="95">
        <f>SUM('DOE25'!G97:G109)</f>
        <v>0</v>
      </c>
      <c r="E60" s="95">
        <f>SUM('DOE25'!H97:H109)</f>
        <v>13783.35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109222.95000000001</v>
      </c>
      <c r="D61" s="130">
        <f>SUM(D56:D60)</f>
        <v>154122.75</v>
      </c>
      <c r="E61" s="130">
        <f>SUM(E56:E60)</f>
        <v>13783.35</v>
      </c>
      <c r="F61" s="130">
        <f>SUM(F56:F60)</f>
        <v>0</v>
      </c>
      <c r="G61" s="130">
        <f>SUM(G56:G60)</f>
        <v>17657.63</v>
      </c>
      <c r="H61"/>
      <c r="I61"/>
    </row>
    <row r="62" spans="1:9" ht="12" thickTop="1">
      <c r="A62" s="29" t="s">
        <v>175</v>
      </c>
      <c r="B62" s="6"/>
      <c r="C62" s="22">
        <f>C55+C61</f>
        <v>10421036.949999999</v>
      </c>
      <c r="D62" s="22">
        <f>D55+D61</f>
        <v>154122.75</v>
      </c>
      <c r="E62" s="22">
        <f>E55+E61</f>
        <v>13783.35</v>
      </c>
      <c r="F62" s="22">
        <f>F55+F61</f>
        <v>0</v>
      </c>
      <c r="G62" s="22">
        <f>G55+G61</f>
        <v>17657.63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1797764.16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1639956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4428.84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3442149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8310.7199999999993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3296.52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8310.7199999999993</v>
      </c>
      <c r="D77" s="130">
        <f>SUM(D71:D76)</f>
        <v>3296.52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3450459.72</v>
      </c>
      <c r="D80" s="130">
        <f>SUM(D78:D79)+D77+D69</f>
        <v>3296.52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84626.47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35948.699999999997</v>
      </c>
      <c r="D87" s="95">
        <f>SUM('DOE25'!G152:G160)</f>
        <v>92094.35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120575.17</v>
      </c>
      <c r="D90" s="131">
        <f>SUM(D84:D89)</f>
        <v>92094.35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478209.88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478209.88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14470281.720000001</v>
      </c>
      <c r="D103" s="86">
        <f>D62+D80+D90+D102</f>
        <v>249513.62</v>
      </c>
      <c r="E103" s="86">
        <f>E62+E80+E90+E102</f>
        <v>13783.35</v>
      </c>
      <c r="F103" s="86">
        <f>F62+F80+F90+F102</f>
        <v>0</v>
      </c>
      <c r="G103" s="86">
        <f>G62+G80+G102</f>
        <v>17657.63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6588854.5899999999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3016546.1700000004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59225.770000000004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9664626.5299999993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1304692.2</v>
      </c>
      <c r="D117" s="24" t="s">
        <v>289</v>
      </c>
      <c r="E117" s="95">
        <f>+('DOE25'!L280)+('DOE25'!L299)+('DOE25'!L318)</f>
        <v>12747.72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641304.39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382532.94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843497.04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1098988.3799999999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480501.23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249513.62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4751516.18</v>
      </c>
      <c r="D127" s="86">
        <f>SUM(D117:D126)</f>
        <v>249513.62</v>
      </c>
      <c r="E127" s="86">
        <f>SUM(E117:E126)</f>
        <v>12747.72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478209.88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17126.53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531.09999999999991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-17657.629999999997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478209.88</v>
      </c>
    </row>
    <row r="144" spans="1:7" ht="12.75" thickTop="1" thickBot="1">
      <c r="A144" s="33" t="s">
        <v>244</v>
      </c>
      <c r="C144" s="86">
        <f>(C114+C127+C143)</f>
        <v>14416142.709999999</v>
      </c>
      <c r="D144" s="86">
        <f>(D114+D127+D143)</f>
        <v>249513.62</v>
      </c>
      <c r="E144" s="86">
        <f>(E114+E127+E143)</f>
        <v>12747.72</v>
      </c>
      <c r="F144" s="86">
        <f>(F114+F127+F143)</f>
        <v>0</v>
      </c>
      <c r="G144" s="86">
        <f>(G114+G127+G143)</f>
        <v>478209.88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Exeter SD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14586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14586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6588855</v>
      </c>
      <c r="D10" s="182">
        <f>ROUND((C10/$C$28)*100,1)</f>
        <v>45.4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3016546</v>
      </c>
      <c r="D11" s="182">
        <f>ROUND((C11/$C$28)*100,1)</f>
        <v>20.8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59226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1317440</v>
      </c>
      <c r="D15" s="182">
        <f t="shared" ref="D15:D27" si="0">ROUND((C15/$C$28)*100,1)</f>
        <v>9.1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641304</v>
      </c>
      <c r="D16" s="182">
        <f t="shared" si="0"/>
        <v>4.4000000000000004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382533</v>
      </c>
      <c r="D17" s="182">
        <f t="shared" si="0"/>
        <v>2.6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843497</v>
      </c>
      <c r="D18" s="182">
        <f t="shared" si="0"/>
        <v>5.8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1098988</v>
      </c>
      <c r="D20" s="182">
        <f t="shared" si="0"/>
        <v>7.6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480501</v>
      </c>
      <c r="D21" s="182">
        <f t="shared" si="0"/>
        <v>3.3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95391.25</v>
      </c>
      <c r="D27" s="182">
        <f t="shared" si="0"/>
        <v>0.7</v>
      </c>
    </row>
    <row r="28" spans="1:4">
      <c r="B28" s="187" t="s">
        <v>723</v>
      </c>
      <c r="C28" s="180">
        <f>SUM(C10:C27)</f>
        <v>14524281.25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14524281.25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10311814</v>
      </c>
      <c r="D35" s="182">
        <f t="shared" ref="D35:D40" si="1">ROUND((C35/$C$41)*100,1)</f>
        <v>73</v>
      </c>
    </row>
    <row r="36" spans="1:4">
      <c r="B36" s="185" t="s">
        <v>743</v>
      </c>
      <c r="C36" s="179">
        <f>SUM('DOE25'!F111:J111)-SUM('DOE25'!G96:G109)+('DOE25'!F173+'DOE25'!F174+'DOE25'!I173+'DOE25'!I174)-C35</f>
        <v>140663.9299999997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3442149</v>
      </c>
      <c r="D37" s="182">
        <f t="shared" si="1"/>
        <v>24.4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11607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212670</v>
      </c>
      <c r="D39" s="182">
        <f t="shared" si="1"/>
        <v>1.5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14118903.93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Exeter SD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7:M87"/>
    <mergeCell ref="C88:M88"/>
    <mergeCell ref="C79:M79"/>
    <mergeCell ref="C80:M80"/>
    <mergeCell ref="C81:M81"/>
    <mergeCell ref="C82:M82"/>
    <mergeCell ref="C89:M89"/>
    <mergeCell ref="C90:M90"/>
    <mergeCell ref="C83:M83"/>
    <mergeCell ref="C84:M84"/>
    <mergeCell ref="C85:M85"/>
    <mergeCell ref="C86:M86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26:M26"/>
    <mergeCell ref="C27:M27"/>
    <mergeCell ref="C28:M28"/>
    <mergeCell ref="C21:M21"/>
    <mergeCell ref="C22:M22"/>
    <mergeCell ref="C62:M62"/>
    <mergeCell ref="C63:M63"/>
    <mergeCell ref="C18:M18"/>
    <mergeCell ref="C19:M19"/>
    <mergeCell ref="C52:M52"/>
    <mergeCell ref="C50:M50"/>
    <mergeCell ref="C47:M47"/>
    <mergeCell ref="C48:M48"/>
    <mergeCell ref="C49:M49"/>
    <mergeCell ref="C51:M51"/>
    <mergeCell ref="C23:M23"/>
    <mergeCell ref="C24:M24"/>
    <mergeCell ref="C31:M31"/>
    <mergeCell ref="C45:M45"/>
    <mergeCell ref="C46:M46"/>
    <mergeCell ref="C44:M44"/>
    <mergeCell ref="C43:M43"/>
    <mergeCell ref="P31:Z31"/>
    <mergeCell ref="AC31:AM31"/>
    <mergeCell ref="AC30:AM30"/>
    <mergeCell ref="C10:M10"/>
    <mergeCell ref="C11:M11"/>
    <mergeCell ref="C12:M12"/>
    <mergeCell ref="C29:M29"/>
    <mergeCell ref="C25:M25"/>
    <mergeCell ref="C20:M20"/>
    <mergeCell ref="CC30:CM30"/>
    <mergeCell ref="BC29:BM29"/>
    <mergeCell ref="BP29:BZ29"/>
    <mergeCell ref="CC29:C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9:M9"/>
    <mergeCell ref="C30:M30"/>
    <mergeCell ref="C5:M5"/>
    <mergeCell ref="C6:M6"/>
    <mergeCell ref="C7:M7"/>
    <mergeCell ref="C8:M8"/>
    <mergeCell ref="A2:E2"/>
    <mergeCell ref="CP30:CZ30"/>
    <mergeCell ref="DC30:DM30"/>
    <mergeCell ref="DP30:DZ30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BC30:BM30"/>
    <mergeCell ref="BP30:BZ30"/>
    <mergeCell ref="AP30:AZ30"/>
    <mergeCell ref="C33:M33"/>
    <mergeCell ref="C37:M37"/>
    <mergeCell ref="C38:M38"/>
    <mergeCell ref="AC32:AM32"/>
    <mergeCell ref="AP32:AZ32"/>
    <mergeCell ref="AC38:AM38"/>
    <mergeCell ref="AP38:AZ38"/>
    <mergeCell ref="P32:Z32"/>
    <mergeCell ref="P30:Z30"/>
    <mergeCell ref="CP29:CZ29"/>
    <mergeCell ref="DC29:DM29"/>
    <mergeCell ref="DP29:DZ29"/>
    <mergeCell ref="CP31:CZ31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EC30:EM30"/>
    <mergeCell ref="EP30:EZ30"/>
    <mergeCell ref="FC30:FM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EC29:EM29"/>
    <mergeCell ref="BP31:BZ31"/>
    <mergeCell ref="BP38:BZ38"/>
    <mergeCell ref="BP32:BZ32"/>
    <mergeCell ref="BC38:BM38"/>
    <mergeCell ref="DC31:DM31"/>
    <mergeCell ref="DP31:DZ31"/>
    <mergeCell ref="BC31:BM31"/>
    <mergeCell ref="BC32:BM32"/>
    <mergeCell ref="IP31:IV31"/>
    <mergeCell ref="CP32:CZ32"/>
    <mergeCell ref="CC31:CM31"/>
    <mergeCell ref="IC38:IM38"/>
    <mergeCell ref="IP38:IV38"/>
    <mergeCell ref="HP32:HZ32"/>
    <mergeCell ref="IC32:IM32"/>
    <mergeCell ref="IP32:IV32"/>
    <mergeCell ref="CC38:CM38"/>
    <mergeCell ref="CC32:CM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FC32:FM32"/>
    <mergeCell ref="P39:Z39"/>
    <mergeCell ref="AC39:AM39"/>
    <mergeCell ref="AP39:AZ39"/>
    <mergeCell ref="BP39:BZ39"/>
    <mergeCell ref="CC39:CM39"/>
    <mergeCell ref="CP39:CZ39"/>
    <mergeCell ref="GP38:GZ38"/>
    <mergeCell ref="HC38:HM38"/>
    <mergeCell ref="HP38:HZ38"/>
    <mergeCell ref="BC39:BM39"/>
    <mergeCell ref="P38:Z38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IC40:IM40"/>
    <mergeCell ref="IP40:IV40"/>
    <mergeCell ref="GC40:GM40"/>
    <mergeCell ref="GP40:GZ40"/>
    <mergeCell ref="HC40:HM40"/>
    <mergeCell ref="HP40:HZ40"/>
    <mergeCell ref="FP40:FZ40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FC40:FM40"/>
    <mergeCell ref="CC40:CM40"/>
    <mergeCell ref="CP40:CZ40"/>
    <mergeCell ref="DC40:DM40"/>
    <mergeCell ref="EP40:EZ40"/>
    <mergeCell ref="DP40:DZ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2012-10-22T15:04:58Z</cp:lastPrinted>
  <dcterms:created xsi:type="dcterms:W3CDTF">1997-12-04T19:04:30Z</dcterms:created>
  <dcterms:modified xsi:type="dcterms:W3CDTF">2012-11-21T14:30:07Z</dcterms:modified>
</cp:coreProperties>
</file>