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J192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/>
  <c r="G642" i="1"/>
  <c r="H642" i="1"/>
  <c r="G643" i="1"/>
  <c r="H643" i="1"/>
  <c r="G644" i="1"/>
  <c r="H644" i="1"/>
  <c r="H646" i="1"/>
  <c r="G648" i="1"/>
  <c r="J648" i="1" s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H671" i="1" s="1"/>
  <c r="C6" i="10" s="1"/>
  <c r="L350" i="1"/>
  <c r="I661" i="1"/>
  <c r="L289" i="1"/>
  <c r="F659" i="1" s="1"/>
  <c r="A31" i="12"/>
  <c r="C69" i="2"/>
  <c r="A40" i="12"/>
  <c r="D12" i="13"/>
  <c r="C12" i="13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D31" i="2"/>
  <c r="C127" i="2"/>
  <c r="C77" i="2"/>
  <c r="D49" i="2"/>
  <c r="D50" i="2" s="1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C80" i="2"/>
  <c r="E77" i="2"/>
  <c r="E80" i="2" s="1"/>
  <c r="E103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L433" i="1" s="1"/>
  <c r="G637" i="1" s="1"/>
  <c r="J637" i="1" s="1"/>
  <c r="D80" i="2"/>
  <c r="I168" i="1"/>
  <c r="H168" i="1"/>
  <c r="J270" i="1"/>
  <c r="H647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F570" i="1"/>
  <c r="H256" i="1"/>
  <c r="H270" i="1"/>
  <c r="G62" i="2"/>
  <c r="G103" i="2"/>
  <c r="G22" i="2"/>
  <c r="K597" i="1"/>
  <c r="G646" i="1" s="1"/>
  <c r="J646" i="1" s="1"/>
  <c r="K544" i="1"/>
  <c r="J617" i="1"/>
  <c r="C29" i="10"/>
  <c r="I660" i="1"/>
  <c r="H139" i="1"/>
  <c r="C38" i="10" s="1"/>
  <c r="L400" i="1"/>
  <c r="C138" i="2" s="1"/>
  <c r="L392" i="1"/>
  <c r="C137" i="2" s="1"/>
  <c r="A13" i="12"/>
  <c r="F22" i="13"/>
  <c r="C22" i="13" s="1"/>
  <c r="H25" i="13"/>
  <c r="J650" i="1"/>
  <c r="J639" i="1"/>
  <c r="J633" i="1"/>
  <c r="H570" i="1"/>
  <c r="L559" i="1"/>
  <c r="J544" i="1"/>
  <c r="L336" i="1"/>
  <c r="H337" i="1"/>
  <c r="H351" i="1"/>
  <c r="F337" i="1"/>
  <c r="F351" i="1"/>
  <c r="G191" i="1"/>
  <c r="H191" i="1"/>
  <c r="E127" i="2"/>
  <c r="E144" i="2" s="1"/>
  <c r="C35" i="10"/>
  <c r="C36" i="10" s="1"/>
  <c r="L308" i="1"/>
  <c r="G659" i="1" s="1"/>
  <c r="G663" i="1" s="1"/>
  <c r="D5" i="13"/>
  <c r="E16" i="13"/>
  <c r="E33" i="13" s="1"/>
  <c r="D35" i="13" s="1"/>
  <c r="J624" i="1"/>
  <c r="C49" i="2"/>
  <c r="C50" i="2" s="1"/>
  <c r="J654" i="1"/>
  <c r="J644" i="1"/>
  <c r="H666" i="1"/>
  <c r="L569" i="1"/>
  <c r="I570" i="1"/>
  <c r="I544" i="1"/>
  <c r="J635" i="1"/>
  <c r="H192" i="1"/>
  <c r="G628" i="1" s="1"/>
  <c r="J628" i="1" s="1"/>
  <c r="L564" i="1"/>
  <c r="L570" i="1"/>
  <c r="G544" i="1"/>
  <c r="L544" i="1"/>
  <c r="H544" i="1"/>
  <c r="F143" i="2"/>
  <c r="F144" i="2" s="1"/>
  <c r="C5" i="13"/>
  <c r="F33" i="13"/>
  <c r="C16" i="13"/>
  <c r="D31" i="13"/>
  <c r="C31" i="13" s="1"/>
  <c r="C25" i="13"/>
  <c r="H33" i="13"/>
  <c r="F192" i="1" l="1"/>
  <c r="G626" i="1" s="1"/>
  <c r="J626" i="1" s="1"/>
  <c r="G645" i="1"/>
  <c r="G630" i="1"/>
  <c r="J630" i="1" s="1"/>
  <c r="J50" i="1"/>
  <c r="G625" i="1" s="1"/>
  <c r="G36" i="2"/>
  <c r="G49" i="2" s="1"/>
  <c r="J551" i="1"/>
  <c r="H551" i="1"/>
  <c r="K550" i="1"/>
  <c r="F551" i="1"/>
  <c r="K548" i="1"/>
  <c r="G671" i="1"/>
  <c r="C5" i="10" s="1"/>
  <c r="G666" i="1"/>
  <c r="C140" i="2"/>
  <c r="C143" i="2" s="1"/>
  <c r="C144" i="2" s="1"/>
  <c r="G12" i="2"/>
  <c r="J19" i="1"/>
  <c r="G620" i="1" s="1"/>
  <c r="I551" i="1"/>
  <c r="G551" i="1"/>
  <c r="K549" i="1"/>
  <c r="F103" i="2"/>
  <c r="G570" i="1"/>
  <c r="G433" i="1"/>
  <c r="J616" i="1"/>
  <c r="A22" i="12"/>
  <c r="L337" i="1"/>
  <c r="L351" i="1" s="1"/>
  <c r="G632" i="1" s="1"/>
  <c r="J632" i="1" s="1"/>
  <c r="L407" i="1"/>
  <c r="D103" i="2"/>
  <c r="J651" i="1"/>
  <c r="F544" i="1"/>
  <c r="H433" i="1"/>
  <c r="H51" i="1"/>
  <c r="H618" i="1" s="1"/>
  <c r="J618" i="1" s="1"/>
  <c r="K433" i="1"/>
  <c r="G133" i="2" s="1"/>
  <c r="G143" i="2" s="1"/>
  <c r="G144" i="2" s="1"/>
  <c r="G168" i="1"/>
  <c r="G33" i="13"/>
  <c r="J625" i="1"/>
  <c r="G160" i="2"/>
  <c r="G21" i="2"/>
  <c r="G31" i="2" s="1"/>
  <c r="G50" i="2" s="1"/>
  <c r="J32" i="1"/>
  <c r="J51" i="1" s="1"/>
  <c r="H620" i="1" s="1"/>
  <c r="J620" i="1" s="1"/>
  <c r="G18" i="2"/>
  <c r="I192" i="1"/>
  <c r="G629" i="1" s="1"/>
  <c r="J629" i="1" s="1"/>
  <c r="G634" i="1"/>
  <c r="J634" i="1" s="1"/>
  <c r="C27" i="10"/>
  <c r="D33" i="13"/>
  <c r="D36" i="13" s="1"/>
  <c r="C28" i="10"/>
  <c r="I659" i="1"/>
  <c r="I663" i="1" s="1"/>
  <c r="F663" i="1"/>
  <c r="G163" i="2"/>
  <c r="G636" i="1" l="1"/>
  <c r="J636" i="1" s="1"/>
  <c r="H645" i="1"/>
  <c r="C39" i="10"/>
  <c r="G192" i="1"/>
  <c r="G627" i="1" s="1"/>
  <c r="J627" i="1" s="1"/>
  <c r="K551" i="1"/>
  <c r="J645" i="1"/>
  <c r="F671" i="1"/>
  <c r="F666" i="1"/>
  <c r="D27" i="10"/>
  <c r="H655" i="1"/>
  <c r="D23" i="10"/>
  <c r="D24" i="10"/>
  <c r="D22" i="10"/>
  <c r="D15" i="10"/>
  <c r="D19" i="10"/>
  <c r="D16" i="10"/>
  <c r="D12" i="10"/>
  <c r="D21" i="10"/>
  <c r="D25" i="10"/>
  <c r="C30" i="10"/>
  <c r="D17" i="10"/>
  <c r="D11" i="10"/>
  <c r="D26" i="10"/>
  <c r="D18" i="10"/>
  <c r="D13" i="10"/>
  <c r="D20" i="10"/>
  <c r="D10" i="10"/>
  <c r="I671" i="1"/>
  <c r="C7" i="10" s="1"/>
  <c r="I666" i="1"/>
  <c r="C41" i="10" l="1"/>
  <c r="D28" i="10"/>
  <c r="D40" i="10" l="1"/>
  <c r="D37" i="10"/>
  <c r="D38" i="10"/>
  <c r="D36" i="10"/>
  <c r="D35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<sst xmlns="http://schemas.openxmlformats.org/spreadsheetml/2006/main" count="3947" uniqueCount="914">
  <si>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</si>
  <si>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</si>
  <si>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</si>
  <si>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</si>
  <si>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</si>
  <si>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</si>
  <si>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</si>
  <si>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</si>
  <si>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</si>
  <si>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</si>
  <si>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</si>
  <si>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</si>
  <si>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</si>
  <si>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</si>
  <si>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</si>
  <si>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</si>
  <si>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</si>
  <si>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</si>
  <si>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</si>
  <si>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</si>
  <si>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</si>
  <si>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</si>
  <si>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</si>
  <si>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</si>
  <si>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</si>
  <si>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</si>
  <si>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</si>
  <si>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</si>
  <si>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</si>
  <si>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</si>
  <si>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</si>
  <si>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</si>
  <si>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</si>
  <si>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</si>
  <si>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</si>
  <si>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</si>
  <si>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</si>
  <si>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</si>
  <si>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</si>
  <si>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</si>
  <si>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</si>
  <si>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</si>
  <si>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</si>
  <si>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</si>
  <si>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</si>
  <si>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</si>
  <si>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</si>
  <si>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</si>
  <si>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</si>
  <si>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</si>
  <si>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</si>
  <si>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</si>
  <si>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</si>
  <si>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</si>
  <si>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</si>
  <si>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</si>
  <si>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</si>
  <si>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</si>
  <si>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</si>
  <si>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</si>
  <si>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</si>
  <si>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</si>
  <si>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</si>
  <si>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</si>
  <si>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</si>
  <si>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</si>
  <si>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</si>
  <si>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</si>
  <si>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</si>
  <si>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</si>
  <si>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</si>
  <si>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</si>
  <si>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</si>
  <si>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</si>
  <si>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</si>
  <si>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</si>
  <si>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</si>
  <si>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</si>
  <si>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</si>
  <si>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</si>
  <si>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</si>
  <si>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</si>
  <si>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</si>
  <si>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</si>
  <si>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</si>
  <si>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</si>
  <si>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</si>
  <si>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</si>
  <si>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</si>
  <si>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</si>
  <si>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</si>
  <si>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</si>
  <si>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</si>
  <si>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</si>
  <si>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</si>
  <si>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</si>
  <si>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</si>
  <si>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</si>
  <si>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</si>
  <si>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</si>
  <si>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</si>
  <si>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</si>
  <si>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</si>
  <si>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</si>
  <si>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</si>
  <si>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</si>
  <si>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</si>
  <si>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</si>
  <si>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</si>
  <si>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</si>
  <si>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</si>
  <si>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</si>
  <si>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</si>
  <si>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</si>
  <si>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</si>
  <si>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</si>
  <si>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</si>
  <si>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</si>
  <si>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</si>
  <si>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</si>
  <si>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</si>
  <si>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</si>
  <si>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</si>
  <si>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</si>
  <si>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</si>
  <si>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</si>
  <si>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</si>
  <si>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</si>
  <si>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</si>
  <si>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</si>
  <si>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</si>
  <si>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</si>
  <si>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</si>
  <si>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</si>
  <si>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</si>
  <si>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</si>
  <si>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</si>
  <si>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</si>
  <si>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</si>
  <si>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</si>
  <si>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</si>
  <si>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</si>
  <si>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</si>
  <si>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</si>
  <si>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</si>
  <si>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</si>
  <si>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</si>
  <si>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</si>
  <si>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</si>
  <si>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</si>
  <si>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</si>
  <si>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</si>
  <si>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</si>
  <si>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</si>
  <si>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</si>
  <si>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</si>
  <si>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</si>
  <si>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</si>
  <si>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</si>
  <si>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</si>
  <si>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</si>
  <si>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</si>
  <si>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</si>
  <si>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</si>
  <si>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</si>
  <si>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</si>
  <si>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</si>
  <si>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</si>
  <si>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</si>
  <si>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</si>
  <si>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</si>
  <si>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</si>
  <si>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</si>
  <si>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</si>
  <si>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</si>
  <si>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</si>
  <si>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</si>
  <si>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</si>
  <si>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</si>
  <si>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</si>
  <si>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</si>
  <si>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</si>
  <si>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</si>
  <si>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</si>
  <si>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</si>
  <si>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</si>
  <si>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</si>
  <si>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</si>
  <si>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</si>
  <si>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</si>
  <si>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</si>
  <si>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</si>
  <si>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</si>
  <si>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</si>
  <si>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</si>
  <si>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</si>
  <si>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</si>
  <si>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</si>
  <si>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</si>
  <si>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</si>
  <si>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</si>
  <si>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</si>
  <si>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</si>
  <si>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</si>
  <si>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</si>
  <si>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</si>
  <si>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</si>
  <si>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</si>
  <si>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</si>
  <si>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</si>
  <si>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</si>
  <si>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</si>
  <si>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</si>
  <si>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</si>
  <si>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</si>
  <si>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</si>
  <si>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</si>
  <si>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</si>
  <si>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</si>
  <si>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</si>
  <si>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</si>
  <si>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</si>
  <si>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</si>
  <si>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</si>
  <si>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</si>
  <si>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</si>
  <si>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</si>
  <si>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</si>
  <si>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</si>
  <si>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</si>
  <si>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</si>
  <si>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</si>
  <si>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</si>
  <si>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</si>
  <si>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</si>
  <si>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</si>
  <si>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</si>
  <si>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</si>
  <si>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</si>
  <si>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</si>
  <si>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</si>
  <si>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</si>
  <si>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</si>
  <si>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</si>
  <si>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</si>
  <si>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</si>
  <si>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</si>
  <si>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</si>
  <si>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</si>
  <si>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</si>
  <si>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</si>
  <si>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</si>
  <si>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</si>
  <si>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</si>
  <si>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</si>
  <si>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</si>
  <si>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</si>
  <si>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</si>
  <si>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</si>
  <si>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</si>
  <si>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</si>
  <si>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</si>
  <si>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</si>
  <si>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</si>
  <si>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</si>
  <si>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</si>
  <si>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</si>
  <si>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</si>
  <si>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</si>
  <si>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</si>
  <si>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</si>
  <si>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</si>
  <si>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</si>
  <si>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</si>
  <si>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</si>
  <si>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</si>
  <si>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</si>
  <si>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</si>
  <si>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</si>
  <si>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</si>
  <si>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</si>
  <si>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</si>
  <si>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</si>
  <si>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</si>
  <si>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</si>
  <si>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</si>
  <si>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</si>
  <si>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</si>
  <si>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</si>
  <si>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</si>
  <si>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</si>
  <si>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</si>
  <si>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</si>
  <si>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</si>
  <si>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</si>
  <si>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</si>
  <si>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</si>
  <si>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</si>
  <si>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</si>
  <si>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</si>
  <si>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</si>
  <si>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</si>
  <si>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</si>
  <si>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</si>
  <si>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</si>
  <si>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</si>
  <si>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</si>
  <si>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</si>
  <si>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</si>
  <si>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</si>
  <si>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</si>
  <si>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</si>
  <si>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</si>
  <si>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</si>
  <si>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</si>
  <si>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</si>
  <si>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</si>
  <si>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</si>
  <si>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</si>
  <si>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</si>
  <si>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</si>
  <si>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</si>
  <si>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</si>
  <si>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</si>
  <si>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</si>
  <si>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</si>
  <si>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</si>
  <si>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</si>
  <si>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</si>
  <si>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</si>
  <si>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</si>
  <si>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</si>
  <si>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</si>
  <si>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</si>
  <si>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</si>
  <si>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</si>
  <si>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</si>
  <si>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</si>
  <si>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</si>
  <si>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</si>
  <si>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</si>
  <si>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</si>
  <si>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</si>
  <si>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</si>
  <si>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</si>
  <si>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</si>
  <si>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</si>
  <si>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</si>
  <si>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</si>
  <si>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</si>
  <si>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</si>
  <si>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</si>
  <si>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</si>
  <si>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</si>
  <si>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</si>
  <si>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</si>
  <si>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</si>
  <si>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</si>
  <si>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</si>
  <si>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</si>
  <si>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</si>
  <si>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</si>
  <si>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</si>
  <si>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</si>
  <si>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</si>
  <si>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</si>
  <si>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</si>
  <si>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</si>
  <si>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</si>
  <si>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</si>
  <si>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</si>
  <si>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</si>
  <si>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</si>
  <si>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</si>
  <si>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</si>
  <si>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</si>
  <si>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</si>
  <si>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</si>
  <si>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</si>
  <si>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</si>
  <si>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</si>
  <si>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</si>
  <si>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</si>
  <si>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</si>
  <si>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</si>
  <si>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</si>
  <si>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</si>
  <si>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</si>
  <si>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</si>
  <si>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</si>
  <si>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</si>
  <si>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</si>
  <si>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</si>
  <si>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</si>
  <si>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</si>
  <si>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</si>
  <si>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</si>
  <si>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</si>
  <si>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</si>
  <si>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</si>
  <si>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</si>
  <si>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</si>
  <si>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</si>
  <si>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</si>
  <si>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</si>
  <si>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</si>
  <si>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</si>
  <si>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</si>
  <si>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</si>
  <si>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</si>
  <si>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</si>
  <si>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</si>
  <si>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</si>
  <si>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</si>
  <si>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</si>
  <si>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</si>
  <si>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</si>
  <si>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</si>
  <si>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</si>
  <si>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</si>
  <si>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</si>
  <si>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</si>
  <si>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</si>
  <si>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</si>
  <si>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</si>
  <si>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</si>
  <si>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</si>
  <si>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</si>
  <si>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</si>
  <si>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</si>
  <si>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</si>
  <si>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</si>
  <si>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</si>
  <si>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</si>
  <si>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</si>
  <si>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</si>
  <si>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</si>
  <si>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</si>
  <si>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</si>
  <si>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</si>
  <si>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</si>
  <si>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</si>
  <si>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</si>
  <si>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</si>
  <si>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</si>
  <si>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</si>
  <si>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</si>
  <si>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</si>
  <si>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</si>
  <si>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</si>
  <si>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</si>
  <si>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</si>
  <si>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</si>
  <si>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</si>
  <si>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</si>
  <si>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</si>
  <si>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</si>
  <si>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</si>
  <si>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</si>
  <si>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</si>
  <si>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</si>
  <si>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</si>
  <si>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</si>
  <si>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</si>
  <si>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</si>
  <si>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</si>
  <si>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</si>
  <si>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</si>
  <si>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</si>
  <si>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</si>
  <si>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</si>
  <si>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</si>
  <si>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</si>
  <si>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</si>
  <si>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</si>
  <si>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</si>
  <si>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</si>
  <si>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</si>
  <si>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</si>
  <si>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</si>
  <si>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</si>
  <si>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</si>
  <si>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</si>
  <si>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</si>
  <si>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</si>
  <si>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</si>
  <si>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</si>
  <si>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</si>
  <si>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</si>
  <si>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</si>
  <si>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</si>
  <si>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</si>
  <si>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</si>
  <si>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</si>
  <si>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</si>
  <si>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</si>
  <si>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</si>
  <si>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</si>
  <si>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</si>
  <si>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</si>
  <si>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</si>
  <si>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</si>
  <si>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</si>
  <si>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</si>
  <si>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</si>
  <si>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</si>
  <si>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</si>
  <si>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</si>
  <si>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</si>
  <si>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</si>
  <si>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</si>
  <si>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</si>
  <si>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</si>
  <si>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</si>
  <si>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</si>
  <si>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</si>
  <si>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</si>
  <si>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</si>
  <si>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</si>
  <si>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</si>
  <si>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</si>
  <si>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</si>
  <si>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</si>
  <si>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</si>
  <si>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</si>
  <si>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</si>
  <si>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</si>
  <si>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</si>
  <si>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</si>
  <si>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</si>
  <si>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</si>
  <si>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</si>
  <si>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</si>
  <si>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</si>
  <si>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</si>
  <si>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</si>
  <si>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</si>
  <si>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</si>
  <si>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</si>
  <si>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</si>
  <si>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</si>
  <si>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</si>
  <si>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</si>
  <si>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</si>
  <si>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</si>
  <si>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</si>
  <si>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</si>
  <si>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</si>
  <si>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</si>
  <si>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</si>
  <si>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</si>
  <si>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</si>
  <si>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</si>
  <si>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</si>
  <si>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</si>
  <si>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</si>
  <si>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</si>
  <si>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</si>
  <si>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</si>
  <si>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</si>
  <si>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</si>
  <si>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</si>
  <si>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</si>
  <si>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</si>
  <si>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</si>
  <si>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</si>
  <si>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</si>
  <si>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</si>
  <si>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</si>
  <si>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</si>
  <si>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</si>
  <si>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</si>
  <si>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</si>
  <si>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</si>
  <si>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</si>
  <si>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</si>
  <si>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</si>
  <si>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</si>
  <si>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</si>
  <si>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</si>
  <si>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</si>
  <si>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</si>
  <si>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</si>
  <si>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</si>
  <si>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</si>
  <si>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</si>
  <si>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</si>
  <si>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</si>
  <si>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</si>
  <si>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</si>
  <si>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</si>
  <si>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</si>
  <si>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</si>
  <si>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</si>
  <si>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</si>
  <si>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</si>
  <si>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</si>
  <si>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</si>
  <si>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</si>
  <si>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</si>
  <si>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</si>
  <si>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</si>
  <si>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</si>
  <si>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</si>
  <si>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</si>
  <si>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</si>
  <si>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</si>
  <si>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</si>
  <si>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</si>
  <si>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</si>
  <si>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</si>
  <si>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</si>
  <si>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</si>
  <si>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</si>
  <si>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</si>
  <si>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</si>
  <si>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</si>
  <si>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</si>
  <si>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</si>
  <si>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</si>
  <si>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</si>
  <si>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</si>
  <si>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</si>
  <si>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</si>
  <si>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</si>
  <si>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</si>
  <si>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</si>
  <si>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</si>
  <si>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</si>
  <si>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</si>
  <si>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</si>
  <si>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</si>
  <si>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</si>
  <si>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</si>
  <si>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</si>
  <si>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</si>
  <si>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</si>
  <si>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</si>
  <si>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</si>
  <si>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</si>
  <si>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</si>
  <si>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</si>
  <si>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</si>
  <si>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</si>
  <si>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</si>
  <si>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</si>
  <si>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</si>
  <si>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</si>
  <si>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</si>
  <si>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</si>
  <si>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</si>
  <si>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</si>
  <si>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</si>
  <si>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</si>
  <si>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</si>
  <si>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</si>
  <si>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</si>
  <si>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</si>
  <si>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</si>
  <si>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</si>
  <si>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</si>
  <si>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</si>
  <si>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</si>
  <si>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</si>
  <si>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</si>
  <si>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</si>
  <si>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</si>
  <si>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</si>
  <si>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</si>
  <si>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</si>
  <si>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</si>
  <si>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</si>
  <si>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</si>
  <si>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</si>
  <si>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</si>
  <si>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</si>
  <si>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</si>
  <si>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</si>
  <si>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</si>
  <si>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</si>
  <si>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</si>
  <si>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</si>
  <si>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</si>
  <si>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</si>
  <si>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</si>
  <si>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</si>
  <si>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</si>
  <si>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</si>
  <si>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</si>
  <si>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</si>
  <si>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</si>
  <si>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</si>
  <si>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</si>
  <si>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</si>
  <si>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</si>
  <si>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</si>
  <si>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</si>
  <si>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</si>
  <si>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</si>
  <si>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</si>
  <si>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</si>
  <si>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</si>
  <si>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</si>
  <si>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</si>
  <si>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</si>
  <si>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</si>
  <si>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</si>
  <si>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</si>
  <si>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</si>
  <si>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</si>
  <si>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</si>
  <si>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</si>
  <si>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</si>
  <si>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</si>
  <si>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</si>
  <si>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</si>
  <si>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</si>
  <si>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</si>
  <si>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</si>
  <si>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</si>
  <si>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</si>
  <si>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</si>
  <si>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</si>
  <si>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</si>
  <si>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</si>
  <si>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</si>
  <si>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</si>
  <si>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</si>
  <si>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</si>
  <si>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</si>
  <si>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</si>
  <si>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</si>
  <si>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</si>
  <si>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</si>
  <si>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</si>
  <si>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</si>
  <si>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</si>
  <si>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</si>
  <si>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</si>
  <si>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</si>
  <si>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</si>
  <si>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</si>
  <si>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</si>
  <si>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</si>
  <si>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</si>
  <si>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</si>
  <si>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</si>
  <si>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</si>
  <si>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</si>
  <si>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</si>
  <si>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</si>
  <si>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</si>
  <si>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</si>
  <si>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</si>
  <si>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</si>
  <si>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</si>
  <si>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</si>
  <si>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</si>
  <si>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</si>
  <si>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</si>
  <si>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</si>
  <si>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</si>
  <si>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</si>
  <si>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</si>
  <si>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</si>
  <si>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</si>
  <si>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</si>
  <si>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</si>
  <si>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</si>
  <si>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</si>
  <si>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</si>
  <si>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</si>
  <si>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</si>
  <si>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</si>
  <si>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</si>
  <si>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</si>
  <si>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</si>
  <si>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</si>
  <si>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</si>
  <si>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</si>
  <si>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</si>
  <si>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</si>
  <si>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</si>
  <si>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</si>
  <si>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</si>
  <si>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</si>
  <si>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</si>
  <si>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</si>
  <si>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</si>
  <si>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</si>
  <si>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</si>
  <si>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</si>
  <si>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</si>
  <si>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</si>
  <si>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</si>
  <si>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</si>
  <si>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</si>
  <si>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</si>
  <si>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</si>
  <si>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</si>
  <si>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</si>
  <si>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</si>
  <si>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</si>
  <si>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</si>
  <si>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</si>
  <si>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</si>
  <si>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</si>
  <si>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</si>
  <si>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</si>
  <si>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</si>
  <si>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</si>
  <si>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</si>
  <si>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</si>
  <si>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</si>
  <si>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</si>
  <si>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</si>
  <si>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</si>
  <si>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</si>
  <si>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</si>
  <si>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</si>
  <si>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</si>
  <si>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</si>
  <si>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</si>
  <si>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</si>
  <si>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</si>
  <si>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</si>
  <si>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</si>
  <si>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</si>
  <si>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</si>
  <si>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</si>
  <si>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</si>
  <si>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</si>
  <si>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</si>
  <si>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</si>
  <si>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</si>
  <si>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</si>
  <si>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</si>
  <si>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</si>
  <si>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</si>
  <si>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</si>
  <si>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</si>
  <si>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</si>
  <si>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</si>
  <si>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</si>
  <si>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</si>
  <si>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</si>
  <si>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</si>
  <si>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</si>
  <si>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</si>
  <si>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</si>
  <si>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</si>
  <si>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</si>
  <si>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</si>
  <si>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</si>
  <si>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</si>
  <si>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</si>
  <si>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</si>
  <si>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</si>
  <si>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</si>
  <si>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</si>
  <si>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</si>
  <si>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</si>
  <si>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</si>
  <si>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</si>
  <si>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</si>
  <si>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</si>
  <si>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</si>
  <si>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</si>
  <si>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</si>
  <si>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</si>
  <si>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</si>
  <si>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</si>
  <si>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</si>
  <si>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</si>
  <si>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</si>
  <si>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</si>
  <si>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</si>
  <si>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</si>
  <si>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</si>
  <si>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</si>
  <si>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</si>
  <si>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</si>
  <si>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</si>
  <si>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</si>
  <si>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</si>
  <si>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</si>
  <si>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</si>
  <si>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</si>
  <si>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</si>
  <si>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</si>
  <si>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</si>
  <si>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</si>
  <si>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</si>
  <si>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</si>
  <si>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</si>
  <si>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</si>
  <si>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</si>
  <si>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</si>
  <si>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</si>
  <si>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</si>
  <si>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</si>
  <si>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</si>
  <si>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</si>
  <si>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</si>
  <si>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</si>
  <si>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</si>
  <si>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</si>
  <si>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</si>
  <si>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</si>
  <si>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1/97</t>
  </si>
  <si>
    <t>1/15/17</t>
  </si>
  <si>
    <t>8/03</t>
  </si>
  <si>
    <t>8/15/23</t>
  </si>
  <si>
    <t>Exeter Region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</si>
</sst>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913</v>
      </c>
      <c r="B2" s="21">
        <v>172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1389338.28</v>
      </c>
      <c r="G9" s="18"/>
      <c r="H9" s="18">
        <v>255876.03</v>
      </c>
      <c r="I9" s="18"/>
      <c r="J9" s="67">
        <f>SUM(I438)</f>
        <v>1295919.0900000001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845255.43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53190.720000000001</v>
      </c>
      <c r="G12" s="18">
        <v>317197.49</v>
      </c>
      <c r="H12" s="18">
        <v>213338.12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893338.51</v>
      </c>
      <c r="G13" s="18">
        <v>297099.74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28914.01</v>
      </c>
      <c r="G14" s="18"/>
      <c r="H14" s="18">
        <v>104165.75999999999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13544.52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3223581.47</v>
      </c>
      <c r="G19" s="41">
        <f>SUM(G9:G18)</f>
        <v>614297.23</v>
      </c>
      <c r="H19" s="41">
        <f>SUM(H9:H18)</f>
        <v>573379.91</v>
      </c>
      <c r="I19" s="41">
        <f>SUM(I9:I18)</f>
        <v>0</v>
      </c>
      <c r="J19" s="41">
        <f>SUM(J9:J18)</f>
        <v>1295919.0900000001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470037.62</v>
      </c>
      <c r="G22" s="18"/>
      <c r="H22" s="18">
        <v>89209.73</v>
      </c>
      <c r="I22" s="18">
        <v>23917.23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807749.92</v>
      </c>
      <c r="G23" s="18">
        <v>249513.62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431116.89</v>
      </c>
      <c r="G24" s="18">
        <v>18.82</v>
      </c>
      <c r="H24" s="18">
        <v>1818.94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78987.850000000006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16490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43619.26</v>
      </c>
      <c r="G31" s="18"/>
      <c r="H31" s="18">
        <v>1791</v>
      </c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1831511.5400000003</v>
      </c>
      <c r="G32" s="41">
        <f>SUM(G22:G31)</f>
        <v>249532.44</v>
      </c>
      <c r="H32" s="41">
        <f>SUM(H22:H31)</f>
        <v>109309.67</v>
      </c>
      <c r="I32" s="41">
        <f>SUM(I22:I31)</f>
        <v>23917.23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364764.79</v>
      </c>
      <c r="H47" s="18">
        <v>464070.24</v>
      </c>
      <c r="I47" s="18">
        <v>-23917.23</v>
      </c>
      <c r="J47" s="13">
        <f>SUM(I458)</f>
        <v>1295919.0900000001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1392069.93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1392069.93</v>
      </c>
      <c r="G50" s="41">
        <f>SUM(G35:G49)</f>
        <v>364764.79</v>
      </c>
      <c r="H50" s="41">
        <f>SUM(H35:H49)</f>
        <v>464070.24</v>
      </c>
      <c r="I50" s="41">
        <f>SUM(I35:I49)</f>
        <v>-23917.23</v>
      </c>
      <c r="J50" s="41">
        <f>SUM(J35:J49)</f>
        <v>1295919.0900000001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3223581.47</v>
      </c>
      <c r="G51" s="41">
        <f>G50+G32</f>
        <v>614297.23</v>
      </c>
      <c r="H51" s="41">
        <f>H50+H32</f>
        <v>573379.91</v>
      </c>
      <c r="I51" s="41">
        <f>I50+I32</f>
        <v>0</v>
      </c>
      <c r="J51" s="41">
        <f>J50+J32</f>
        <v>1295919.0900000001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30206311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30206311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19969.919999999998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2550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78159.58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32139.68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882271.51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1015090.69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>
        <v>102727.4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102727.4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646.28</v>
      </c>
      <c r="G95" s="18"/>
      <c r="H95" s="18"/>
      <c r="I95" s="18"/>
      <c r="J95" s="18">
        <v>24688.44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686361.67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786003.08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>
        <v>39997.279999999999</v>
      </c>
      <c r="H98" s="18">
        <v>531498.92000000004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121938.25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600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182382.1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108235.58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413202.21</v>
      </c>
      <c r="G110" s="41">
        <f>SUM(G95:G109)</f>
        <v>726358.95000000007</v>
      </c>
      <c r="H110" s="41">
        <f>SUM(H95:H109)</f>
        <v>1318102</v>
      </c>
      <c r="I110" s="41">
        <f>SUM(I95:I109)</f>
        <v>0</v>
      </c>
      <c r="J110" s="41">
        <f>SUM(J95:J109)</f>
        <v>24688.44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31634603.900000002</v>
      </c>
      <c r="G111" s="41">
        <f>G59+G110</f>
        <v>726358.95000000007</v>
      </c>
      <c r="H111" s="41">
        <f>H59+H78+H93+H110</f>
        <v>1420829.4</v>
      </c>
      <c r="I111" s="41">
        <f>I59+I110</f>
        <v>0</v>
      </c>
      <c r="J111" s="41">
        <f>J59+J110</f>
        <v>24688.44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5114441.87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5342412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1560.13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10458414.000000002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2070784.62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183480.52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1228107.53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8236.57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3482372.67</v>
      </c>
      <c r="G135" s="41">
        <f>SUM(G122:G134)</f>
        <v>8236.57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13940786.670000002</v>
      </c>
      <c r="G139" s="41">
        <f>G120+SUM(G135:G136)</f>
        <v>8236.57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93668.13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214059.7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307727.83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51513.67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328864.82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175986.12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187336.28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187336.28</v>
      </c>
      <c r="G161" s="41">
        <f>SUM(G149:G160)</f>
        <v>175986.12</v>
      </c>
      <c r="H161" s="41">
        <f>SUM(H149:H160)</f>
        <v>380378.49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47517.24</v>
      </c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542581.35</v>
      </c>
      <c r="G168" s="41">
        <f>G146+G161+SUM(G162:G167)</f>
        <v>175986.12</v>
      </c>
      <c r="H168" s="41">
        <f>H146+H161+SUM(H162:H167)</f>
        <v>380378.49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40000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40000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40000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46117971.920000009</v>
      </c>
      <c r="G192" s="47">
        <f>G111+G139+G168+G191</f>
        <v>910581.64</v>
      </c>
      <c r="H192" s="47">
        <f>H111+H139+H168+H191</f>
        <v>1801207.89</v>
      </c>
      <c r="I192" s="47">
        <f>I111+I139+I168+I191</f>
        <v>0</v>
      </c>
      <c r="J192" s="47">
        <f>J111+J139+J191</f>
        <v>64688.44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5917907.2699999996</v>
      </c>
      <c r="G214" s="18">
        <v>2830042.05</v>
      </c>
      <c r="H214" s="18">
        <v>85662.39</v>
      </c>
      <c r="I214" s="18">
        <v>228670.06</v>
      </c>
      <c r="J214" s="18">
        <v>410</v>
      </c>
      <c r="K214" s="18"/>
      <c r="L214" s="19">
        <f>SUM(F214:K214)</f>
        <v>9062691.7700000014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1189882.94</v>
      </c>
      <c r="G215" s="18">
        <v>569021.88</v>
      </c>
      <c r="H215" s="18">
        <v>144184</v>
      </c>
      <c r="I215" s="18">
        <v>23042</v>
      </c>
      <c r="J215" s="18">
        <v>5888.95</v>
      </c>
      <c r="K215" s="18"/>
      <c r="L215" s="19">
        <f>SUM(F215:K215)</f>
        <v>1932019.7699999998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150199.70000000001</v>
      </c>
      <c r="G217" s="18">
        <v>71828</v>
      </c>
      <c r="H217" s="18"/>
      <c r="I217" s="18">
        <v>10289.84</v>
      </c>
      <c r="J217" s="18"/>
      <c r="K217" s="18"/>
      <c r="L217" s="19">
        <f>SUM(F217:K217)</f>
        <v>232317.54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792296.31</v>
      </c>
      <c r="G219" s="18">
        <v>378889.32</v>
      </c>
      <c r="H219" s="18">
        <v>28000.400000000001</v>
      </c>
      <c r="I219" s="18">
        <v>5418.91</v>
      </c>
      <c r="J219" s="18"/>
      <c r="K219" s="18"/>
      <c r="L219" s="19">
        <f t="shared" ref="L219:L225" si="2">SUM(F219:K219)</f>
        <v>1204604.94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133133.85</v>
      </c>
      <c r="G220" s="18">
        <v>63666.83</v>
      </c>
      <c r="H220" s="18">
        <v>18753.89</v>
      </c>
      <c r="I220" s="18">
        <v>24470.86</v>
      </c>
      <c r="J220" s="18"/>
      <c r="K220" s="18"/>
      <c r="L220" s="19">
        <f t="shared" si="2"/>
        <v>240025.43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77796.149999999994</v>
      </c>
      <c r="G221" s="18">
        <v>37203.42</v>
      </c>
      <c r="H221" s="18">
        <v>539969.93999999994</v>
      </c>
      <c r="I221" s="18"/>
      <c r="J221" s="18"/>
      <c r="K221" s="18"/>
      <c r="L221" s="19">
        <f t="shared" si="2"/>
        <v>654969.50999999989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597207.41</v>
      </c>
      <c r="G222" s="18">
        <v>285594.55</v>
      </c>
      <c r="H222" s="18">
        <v>113101.55</v>
      </c>
      <c r="I222" s="18">
        <v>31714.16</v>
      </c>
      <c r="J222" s="18">
        <v>1428.49</v>
      </c>
      <c r="K222" s="18">
        <v>7039.05</v>
      </c>
      <c r="L222" s="19">
        <f t="shared" si="2"/>
        <v>1036085.2100000001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534171.39</v>
      </c>
      <c r="G224" s="18">
        <v>255449.68</v>
      </c>
      <c r="H224" s="18">
        <v>186113.39</v>
      </c>
      <c r="I224" s="18">
        <v>330392.3</v>
      </c>
      <c r="J224" s="18">
        <v>3581.9</v>
      </c>
      <c r="K224" s="18"/>
      <c r="L224" s="19">
        <f t="shared" si="2"/>
        <v>1309708.6599999999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13469.3</v>
      </c>
      <c r="G225" s="18">
        <v>6441.24</v>
      </c>
      <c r="H225" s="18">
        <v>709776.34</v>
      </c>
      <c r="I225" s="18"/>
      <c r="J225" s="18"/>
      <c r="K225" s="18"/>
      <c r="L225" s="19">
        <f t="shared" si="2"/>
        <v>729686.88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9406064.3200000003</v>
      </c>
      <c r="G228" s="41">
        <f>SUM(G214:G227)</f>
        <v>4498136.97</v>
      </c>
      <c r="H228" s="41">
        <f>SUM(H214:H227)</f>
        <v>1825561.9</v>
      </c>
      <c r="I228" s="41">
        <f>SUM(I214:I227)</f>
        <v>653998.12999999989</v>
      </c>
      <c r="J228" s="41">
        <f>SUM(J214:J227)</f>
        <v>11309.34</v>
      </c>
      <c r="K228" s="41">
        <f t="shared" si="3"/>
        <v>7039.05</v>
      </c>
      <c r="L228" s="41">
        <f t="shared" si="3"/>
        <v>16402109.710000001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7141883.6200000001</v>
      </c>
      <c r="G232" s="18">
        <v>2851597.4</v>
      </c>
      <c r="H232" s="18">
        <v>81761.87</v>
      </c>
      <c r="I232" s="18">
        <v>316810.34000000003</v>
      </c>
      <c r="J232" s="18"/>
      <c r="K232" s="18"/>
      <c r="L232" s="19">
        <f>SUM(F232:K232)</f>
        <v>10392053.229999999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1406298.93</v>
      </c>
      <c r="G233" s="18">
        <v>561504.30000000005</v>
      </c>
      <c r="H233" s="18">
        <v>1193501.5</v>
      </c>
      <c r="I233" s="18">
        <v>20953.52</v>
      </c>
      <c r="J233" s="18">
        <v>15044.04</v>
      </c>
      <c r="K233" s="18"/>
      <c r="L233" s="19">
        <f>SUM(F233:K233)</f>
        <v>3197302.29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1191418.1399999999</v>
      </c>
      <c r="G234" s="18">
        <v>475707.12</v>
      </c>
      <c r="H234" s="18">
        <v>24428.07</v>
      </c>
      <c r="I234" s="18">
        <v>87431.95</v>
      </c>
      <c r="J234" s="18">
        <v>10487.86</v>
      </c>
      <c r="K234" s="18">
        <v>942.68</v>
      </c>
      <c r="L234" s="19">
        <f>SUM(F234:K234)</f>
        <v>1790415.8199999998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372032.29</v>
      </c>
      <c r="G235" s="18">
        <v>148544.32999999999</v>
      </c>
      <c r="H235" s="18">
        <v>116302.75</v>
      </c>
      <c r="I235" s="18">
        <v>69957.08</v>
      </c>
      <c r="J235" s="18"/>
      <c r="K235" s="18"/>
      <c r="L235" s="19">
        <f>SUM(F235:K235)</f>
        <v>706836.45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977711.63</v>
      </c>
      <c r="G237" s="18">
        <v>390378.8</v>
      </c>
      <c r="H237" s="18">
        <v>117597.88</v>
      </c>
      <c r="I237" s="18">
        <v>29155.360000000001</v>
      </c>
      <c r="J237" s="18"/>
      <c r="K237" s="18"/>
      <c r="L237" s="19">
        <f t="shared" ref="L237:L243" si="4">SUM(F237:K237)</f>
        <v>1514843.6700000002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134178.91</v>
      </c>
      <c r="G238" s="18">
        <v>53574.69</v>
      </c>
      <c r="H238" s="18">
        <v>27690.32</v>
      </c>
      <c r="I238" s="18">
        <v>30869.13</v>
      </c>
      <c r="J238" s="18"/>
      <c r="K238" s="18"/>
      <c r="L238" s="19">
        <f t="shared" si="4"/>
        <v>246313.05000000002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138818.4</v>
      </c>
      <c r="G239" s="18">
        <v>55427.14</v>
      </c>
      <c r="H239" s="18">
        <v>554065.98</v>
      </c>
      <c r="I239" s="18">
        <v>4867.54</v>
      </c>
      <c r="J239" s="18"/>
      <c r="K239" s="18"/>
      <c r="L239" s="19">
        <f t="shared" si="4"/>
        <v>753179.06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871293.12</v>
      </c>
      <c r="G240" s="18">
        <v>347888.22</v>
      </c>
      <c r="H240" s="18">
        <v>109039.31</v>
      </c>
      <c r="I240" s="18">
        <v>97406.42</v>
      </c>
      <c r="J240" s="18"/>
      <c r="K240" s="18">
        <v>7615.41</v>
      </c>
      <c r="L240" s="19">
        <f t="shared" si="4"/>
        <v>1433242.4799999997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937892.28</v>
      </c>
      <c r="G242" s="18">
        <v>374479.8</v>
      </c>
      <c r="H242" s="18">
        <v>607485.39</v>
      </c>
      <c r="I242" s="18">
        <v>1442035.56</v>
      </c>
      <c r="J242" s="18">
        <v>9156.2000000000007</v>
      </c>
      <c r="K242" s="18"/>
      <c r="L242" s="19">
        <f t="shared" si="4"/>
        <v>3371049.2300000004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13469.29</v>
      </c>
      <c r="G243" s="18">
        <v>5377.99</v>
      </c>
      <c r="H243" s="18">
        <v>902499.06</v>
      </c>
      <c r="I243" s="18"/>
      <c r="J243" s="18"/>
      <c r="K243" s="18"/>
      <c r="L243" s="19">
        <f t="shared" si="4"/>
        <v>921346.34000000008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13184996.609999999</v>
      </c>
      <c r="G246" s="41">
        <f t="shared" si="5"/>
        <v>5264479.79</v>
      </c>
      <c r="H246" s="41">
        <f t="shared" si="5"/>
        <v>3734372.1300000004</v>
      </c>
      <c r="I246" s="41">
        <f t="shared" si="5"/>
        <v>2099486.9000000004</v>
      </c>
      <c r="J246" s="41">
        <f t="shared" si="5"/>
        <v>34688.100000000006</v>
      </c>
      <c r="K246" s="41">
        <f t="shared" si="5"/>
        <v>8558.09</v>
      </c>
      <c r="L246" s="41">
        <f t="shared" si="5"/>
        <v>24326581.620000001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102256.32000000001</v>
      </c>
      <c r="G250" s="18"/>
      <c r="H250" s="18"/>
      <c r="I250" s="18">
        <v>11546.19</v>
      </c>
      <c r="J250" s="18"/>
      <c r="K250" s="18"/>
      <c r="L250" s="19">
        <f t="shared" si="6"/>
        <v>113802.51000000001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102256.32000000001</v>
      </c>
      <c r="G255" s="41">
        <f t="shared" si="7"/>
        <v>0</v>
      </c>
      <c r="H255" s="41">
        <f t="shared" si="7"/>
        <v>0</v>
      </c>
      <c r="I255" s="41">
        <f t="shared" si="7"/>
        <v>11546.19</v>
      </c>
      <c r="J255" s="41">
        <f t="shared" si="7"/>
        <v>0</v>
      </c>
      <c r="K255" s="41">
        <f t="shared" si="7"/>
        <v>0</v>
      </c>
      <c r="L255" s="41">
        <f>SUM(F255:K255)</f>
        <v>113802.51000000001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22693317.25</v>
      </c>
      <c r="G256" s="41">
        <f t="shared" si="8"/>
        <v>9762616.7599999998</v>
      </c>
      <c r="H256" s="41">
        <f t="shared" si="8"/>
        <v>5559934.0300000003</v>
      </c>
      <c r="I256" s="41">
        <f t="shared" si="8"/>
        <v>2765031.22</v>
      </c>
      <c r="J256" s="41">
        <f t="shared" si="8"/>
        <v>45997.440000000002</v>
      </c>
      <c r="K256" s="41">
        <f t="shared" si="8"/>
        <v>15597.14</v>
      </c>
      <c r="L256" s="41">
        <f t="shared" si="8"/>
        <v>40842493.839999996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2795557.66</v>
      </c>
      <c r="L259" s="19">
        <f>SUM(F259:K259)</f>
        <v>2795557.66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1697435.84</v>
      </c>
      <c r="L260" s="19">
        <f>SUM(F260:K260)</f>
        <v>1697435.84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40000</v>
      </c>
      <c r="L265" s="19">
        <f t="shared" si="9"/>
        <v>40000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431295</v>
      </c>
      <c r="L267" s="19">
        <f t="shared" si="9"/>
        <v>431295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4964288.5</v>
      </c>
      <c r="L269" s="41">
        <f t="shared" si="9"/>
        <v>4964288.5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22693317.25</v>
      </c>
      <c r="G270" s="42">
        <f t="shared" si="11"/>
        <v>9762616.7599999998</v>
      </c>
      <c r="H270" s="42">
        <f t="shared" si="11"/>
        <v>5559934.0300000003</v>
      </c>
      <c r="I270" s="42">
        <f t="shared" si="11"/>
        <v>2765031.22</v>
      </c>
      <c r="J270" s="42">
        <f t="shared" si="11"/>
        <v>45997.440000000002</v>
      </c>
      <c r="K270" s="42">
        <f t="shared" si="11"/>
        <v>4979885.6399999997</v>
      </c>
      <c r="L270" s="42">
        <f t="shared" si="11"/>
        <v>45806782.339999996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>
        <v>287814.62</v>
      </c>
      <c r="L299" s="19">
        <f t="shared" ref="L299:L305" si="14">SUM(F299:K299)</f>
        <v>287814.62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287814.62</v>
      </c>
      <c r="L308" s="41">
        <f t="shared" si="15"/>
        <v>287814.62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8810.1</v>
      </c>
      <c r="G315" s="18">
        <v>1651.76</v>
      </c>
      <c r="H315" s="18"/>
      <c r="I315" s="18">
        <v>77340.88</v>
      </c>
      <c r="J315" s="18"/>
      <c r="K315" s="18"/>
      <c r="L315" s="19">
        <f>SUM(F315:K315)</f>
        <v>87802.74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v>4969</v>
      </c>
      <c r="J318" s="18"/>
      <c r="K318" s="18">
        <v>497828.78</v>
      </c>
      <c r="L318" s="19">
        <f t="shared" ref="L318:L324" si="16">SUM(F318:K318)</f>
        <v>502797.78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8810.1</v>
      </c>
      <c r="G327" s="42">
        <f t="shared" si="17"/>
        <v>1651.76</v>
      </c>
      <c r="H327" s="42">
        <f t="shared" si="17"/>
        <v>0</v>
      </c>
      <c r="I327" s="42">
        <f t="shared" si="17"/>
        <v>82309.88</v>
      </c>
      <c r="J327" s="42">
        <f t="shared" si="17"/>
        <v>0</v>
      </c>
      <c r="K327" s="42">
        <f t="shared" si="17"/>
        <v>497828.78</v>
      </c>
      <c r="L327" s="41">
        <f t="shared" si="17"/>
        <v>590600.52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235581.17</v>
      </c>
      <c r="G332" s="18">
        <v>46160.09</v>
      </c>
      <c r="H332" s="18">
        <v>16175.11</v>
      </c>
      <c r="I332" s="18">
        <v>20454.599999999999</v>
      </c>
      <c r="J332" s="18">
        <v>3737.43</v>
      </c>
      <c r="K332" s="18">
        <v>7393.82</v>
      </c>
      <c r="L332" s="19">
        <f t="shared" si="18"/>
        <v>329502.21999999997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104265.28</v>
      </c>
      <c r="G333" s="18">
        <v>11991.1</v>
      </c>
      <c r="H333" s="18">
        <v>55778.23</v>
      </c>
      <c r="I333" s="18">
        <v>272188.56</v>
      </c>
      <c r="J333" s="18"/>
      <c r="K333" s="18">
        <v>109062.86</v>
      </c>
      <c r="L333" s="19">
        <f t="shared" si="18"/>
        <v>553286.03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339846.45</v>
      </c>
      <c r="G336" s="41">
        <f t="shared" si="19"/>
        <v>58151.189999999995</v>
      </c>
      <c r="H336" s="41">
        <f t="shared" si="19"/>
        <v>71953.34</v>
      </c>
      <c r="I336" s="41">
        <f t="shared" si="19"/>
        <v>292643.15999999997</v>
      </c>
      <c r="J336" s="41">
        <f t="shared" si="19"/>
        <v>3737.43</v>
      </c>
      <c r="K336" s="41">
        <f t="shared" si="19"/>
        <v>116456.68</v>
      </c>
      <c r="L336" s="41">
        <f t="shared" si="18"/>
        <v>882788.25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348656.55</v>
      </c>
      <c r="G337" s="41">
        <f t="shared" si="20"/>
        <v>59802.95</v>
      </c>
      <c r="H337" s="41">
        <f t="shared" si="20"/>
        <v>71953.34</v>
      </c>
      <c r="I337" s="41">
        <f t="shared" si="20"/>
        <v>374953.04</v>
      </c>
      <c r="J337" s="41">
        <f t="shared" si="20"/>
        <v>3737.43</v>
      </c>
      <c r="K337" s="41">
        <f t="shared" si="20"/>
        <v>902100.08000000007</v>
      </c>
      <c r="L337" s="41">
        <f t="shared" si="20"/>
        <v>1761203.3900000001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348656.55</v>
      </c>
      <c r="G351" s="41">
        <f>G337</f>
        <v>59802.95</v>
      </c>
      <c r="H351" s="41">
        <f>H337</f>
        <v>71953.34</v>
      </c>
      <c r="I351" s="41">
        <f>I337</f>
        <v>374953.04</v>
      </c>
      <c r="J351" s="41">
        <f>J337</f>
        <v>3737.43</v>
      </c>
      <c r="K351" s="47">
        <f>K337+K350</f>
        <v>902100.08000000007</v>
      </c>
      <c r="L351" s="41">
        <f>L337+L350</f>
        <v>1761203.3900000001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154347.62</v>
      </c>
      <c r="G358" s="18">
        <v>37651.480000000003</v>
      </c>
      <c r="H358" s="18">
        <v>6587.65</v>
      </c>
      <c r="I358" s="18">
        <v>139636.14000000001</v>
      </c>
      <c r="J358" s="18">
        <v>8402.93</v>
      </c>
      <c r="K358" s="18">
        <v>2572.19</v>
      </c>
      <c r="L358" s="19">
        <f>SUM(F358:K358)</f>
        <v>349198.01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192048.12</v>
      </c>
      <c r="G359" s="18">
        <v>58889.58</v>
      </c>
      <c r="H359" s="18">
        <v>9360.86</v>
      </c>
      <c r="I359" s="18">
        <v>293994.18</v>
      </c>
      <c r="J359" s="18">
        <v>10058.950000000001</v>
      </c>
      <c r="K359" s="18">
        <v>7327</v>
      </c>
      <c r="L359" s="19">
        <f>SUM(F359:K359)</f>
        <v>571678.68999999994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346395.74</v>
      </c>
      <c r="G361" s="47">
        <f t="shared" si="22"/>
        <v>96541.06</v>
      </c>
      <c r="H361" s="47">
        <f t="shared" si="22"/>
        <v>15948.51</v>
      </c>
      <c r="I361" s="47">
        <f t="shared" si="22"/>
        <v>433630.32</v>
      </c>
      <c r="J361" s="47">
        <f t="shared" si="22"/>
        <v>18461.88</v>
      </c>
      <c r="K361" s="47">
        <f t="shared" si="22"/>
        <v>9899.19</v>
      </c>
      <c r="L361" s="47">
        <f t="shared" si="22"/>
        <v>920876.7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>
        <v>136585.54999999999</v>
      </c>
      <c r="H366" s="18">
        <v>245208.87</v>
      </c>
      <c r="I366" s="56">
        <f>SUM(F366:H366)</f>
        <v>381794.42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>
        <v>3050.59</v>
      </c>
      <c r="H367" s="63">
        <v>48785.31</v>
      </c>
      <c r="I367" s="56">
        <f>SUM(F367:H367)</f>
        <v>51835.899999999994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139636.13999999998</v>
      </c>
      <c r="H368" s="47">
        <f>SUM(H366:H367)</f>
        <v>293994.18</v>
      </c>
      <c r="I368" s="47">
        <f>SUM(I366:I367)</f>
        <v>433630.31999999995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7853.28</v>
      </c>
      <c r="I388" s="18"/>
      <c r="J388" s="24" t="s">
        <v>289</v>
      </c>
      <c r="K388" s="24" t="s">
        <v>289</v>
      </c>
      <c r="L388" s="56">
        <f t="shared" si="25"/>
        <v>7853.28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7853.28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7853.28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40000</v>
      </c>
      <c r="H395" s="18">
        <v>10103.48</v>
      </c>
      <c r="I395" s="18"/>
      <c r="J395" s="24" t="s">
        <v>289</v>
      </c>
      <c r="K395" s="24" t="s">
        <v>289</v>
      </c>
      <c r="L395" s="56">
        <f t="shared" si="26"/>
        <v>50103.479999999996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6731.68</v>
      </c>
      <c r="I396" s="18"/>
      <c r="J396" s="24" t="s">
        <v>289</v>
      </c>
      <c r="K396" s="24" t="s">
        <v>289</v>
      </c>
      <c r="L396" s="56">
        <f t="shared" si="26"/>
        <v>6731.68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40000</v>
      </c>
      <c r="H400" s="47">
        <f>SUM(H394:H399)</f>
        <v>16835.16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56835.159999999996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40000</v>
      </c>
      <c r="H407" s="47">
        <f>H392+H400+H406</f>
        <v>24688.44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64688.439999999995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387371.53</v>
      </c>
      <c r="G438" s="18">
        <v>908547.56</v>
      </c>
      <c r="H438" s="18"/>
      <c r="I438" s="56">
        <f t="shared" ref="I438:I444" si="33">SUM(F438:H438)</f>
        <v>1295919.0900000001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387371.53</v>
      </c>
      <c r="G445" s="13">
        <f>SUM(G438:G444)</f>
        <v>908547.56</v>
      </c>
      <c r="H445" s="13">
        <f>SUM(H438:H444)</f>
        <v>0</v>
      </c>
      <c r="I445" s="13">
        <f>SUM(I438:I444)</f>
        <v>1295919.0900000001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387371.53</v>
      </c>
      <c r="G458" s="18">
        <v>908547.56</v>
      </c>
      <c r="H458" s="18"/>
      <c r="I458" s="56">
        <f t="shared" si="34"/>
        <v>1295919.0900000001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387371.53</v>
      </c>
      <c r="G459" s="83">
        <f>SUM(G453:G458)</f>
        <v>908547.56</v>
      </c>
      <c r="H459" s="83">
        <f>SUM(H453:H458)</f>
        <v>0</v>
      </c>
      <c r="I459" s="83">
        <f>SUM(I453:I458)</f>
        <v>1295919.0900000001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387371.53</v>
      </c>
      <c r="G460" s="42">
        <f>G451+G459</f>
        <v>908547.56</v>
      </c>
      <c r="H460" s="42">
        <f>H451+H459</f>
        <v>0</v>
      </c>
      <c r="I460" s="42">
        <f>I451+I459</f>
        <v>1295919.0900000001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1080880.3500000001</v>
      </c>
      <c r="G464" s="18">
        <v>375059.85</v>
      </c>
      <c r="H464" s="18">
        <v>424065.74</v>
      </c>
      <c r="I464" s="18">
        <v>-23917.23</v>
      </c>
      <c r="J464" s="18">
        <v>1231230.6499999999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46117971.920000002</v>
      </c>
      <c r="G467" s="18">
        <v>910581.64</v>
      </c>
      <c r="H467" s="18">
        <v>1801207.89</v>
      </c>
      <c r="I467" s="18"/>
      <c r="J467" s="18">
        <v>64688.44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46117971.920000002</v>
      </c>
      <c r="G469" s="53">
        <f>SUM(G467:G468)</f>
        <v>910581.64</v>
      </c>
      <c r="H469" s="53">
        <f>SUM(H467:H468)</f>
        <v>1801207.89</v>
      </c>
      <c r="I469" s="53">
        <f>SUM(I467:I468)</f>
        <v>0</v>
      </c>
      <c r="J469" s="53">
        <f>SUM(J467:J468)</f>
        <v>64688.44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45806782.340000004</v>
      </c>
      <c r="G471" s="18">
        <v>920876.7</v>
      </c>
      <c r="H471" s="18">
        <v>1761203.39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45806782.340000004</v>
      </c>
      <c r="G473" s="53">
        <f>SUM(G471:G472)</f>
        <v>920876.7</v>
      </c>
      <c r="H473" s="53">
        <f>SUM(H471:H472)</f>
        <v>1761203.39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1392069.9299999997</v>
      </c>
      <c r="G475" s="53">
        <f>(G464+G469)- G473</f>
        <v>364764.79000000004</v>
      </c>
      <c r="H475" s="53">
        <f>(H464+H469)- H473</f>
        <v>464070.24</v>
      </c>
      <c r="I475" s="53">
        <f>(I464+I469)- I473</f>
        <v>-23917.23</v>
      </c>
      <c r="J475" s="53">
        <f>(J464+J469)- J473</f>
        <v>1295919.0899999999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15600000</v>
      </c>
      <c r="G492" s="18">
        <v>42695000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5.46</v>
      </c>
      <c r="G493" s="18">
        <v>3.7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2824619.16</v>
      </c>
      <c r="G494" s="18">
        <v>22675464</v>
      </c>
      <c r="H494" s="18"/>
      <c r="I494" s="18"/>
      <c r="J494" s="18"/>
      <c r="K494" s="53">
        <f>SUM(F494:J494)</f>
        <v>25500083.16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545119.87</v>
      </c>
      <c r="G496" s="18">
        <v>2250437.79</v>
      </c>
      <c r="H496" s="18"/>
      <c r="I496" s="18"/>
      <c r="J496" s="18"/>
      <c r="K496" s="53">
        <f t="shared" si="35"/>
        <v>2795557.66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2279499.29</v>
      </c>
      <c r="G497" s="205">
        <v>20425026.210000001</v>
      </c>
      <c r="H497" s="205"/>
      <c r="I497" s="205"/>
      <c r="J497" s="205"/>
      <c r="K497" s="206">
        <f t="shared" si="35"/>
        <v>22704525.5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4254200.71</v>
      </c>
      <c r="G498" s="18">
        <v>17557376.789999999</v>
      </c>
      <c r="H498" s="18"/>
      <c r="I498" s="18"/>
      <c r="J498" s="18"/>
      <c r="K498" s="53">
        <f t="shared" si="35"/>
        <v>21811577.5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6533700</v>
      </c>
      <c r="G499" s="42">
        <f>SUM(G497:G498)</f>
        <v>37982403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44516103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511898.3</v>
      </c>
      <c r="G500" s="205">
        <v>2152892.9900000002</v>
      </c>
      <c r="H500" s="205"/>
      <c r="I500" s="205"/>
      <c r="J500" s="205"/>
      <c r="K500" s="206">
        <f t="shared" si="35"/>
        <v>2664791.29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795001.7</v>
      </c>
      <c r="G501" s="18">
        <v>1037835.01</v>
      </c>
      <c r="H501" s="18"/>
      <c r="I501" s="18"/>
      <c r="J501" s="18"/>
      <c r="K501" s="53">
        <f t="shared" si="35"/>
        <v>1832836.71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1306900</v>
      </c>
      <c r="G502" s="42">
        <f>SUM(G500:G501)</f>
        <v>3190728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4497628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75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1189882.94</v>
      </c>
      <c r="G521" s="18">
        <v>569021.88</v>
      </c>
      <c r="H521" s="18">
        <v>144184</v>
      </c>
      <c r="I521" s="18">
        <v>23042</v>
      </c>
      <c r="J521" s="18">
        <v>5888.95</v>
      </c>
      <c r="K521" s="18"/>
      <c r="L521" s="88">
        <f>SUM(F521:K521)</f>
        <v>1932019.7699999998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1406298.93</v>
      </c>
      <c r="G522" s="18">
        <v>561504.30000000005</v>
      </c>
      <c r="H522" s="18">
        <v>1193501.5</v>
      </c>
      <c r="I522" s="18">
        <v>20853.52</v>
      </c>
      <c r="J522" s="18">
        <v>15044.04</v>
      </c>
      <c r="K522" s="18"/>
      <c r="L522" s="88">
        <f>SUM(F522:K522)</f>
        <v>3197202.29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SUM(F521:F522)</f>
        <v>2596181.87</v>
      </c>
      <c r="G523" s="108">
        <f t="shared" ref="G523:L523" si="36">SUM(G520:G522)</f>
        <v>1130526.1800000002</v>
      </c>
      <c r="H523" s="108">
        <f t="shared" si="36"/>
        <v>1337685.5</v>
      </c>
      <c r="I523" s="108">
        <f t="shared" si="36"/>
        <v>43895.520000000004</v>
      </c>
      <c r="J523" s="108">
        <f t="shared" si="36"/>
        <v>20932.990000000002</v>
      </c>
      <c r="K523" s="108">
        <f t="shared" si="36"/>
        <v>0</v>
      </c>
      <c r="L523" s="89">
        <f t="shared" si="36"/>
        <v>5129222.0599999996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239302.6</v>
      </c>
      <c r="G526" s="18">
        <v>114865.25</v>
      </c>
      <c r="H526" s="18">
        <v>11983.1</v>
      </c>
      <c r="I526" s="18"/>
      <c r="J526" s="18"/>
      <c r="K526" s="18"/>
      <c r="L526" s="88">
        <f>SUM(F526:K526)</f>
        <v>366150.94999999995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170463.15</v>
      </c>
      <c r="G527" s="18">
        <v>68185.259999999995</v>
      </c>
      <c r="H527" s="18">
        <v>16314.72</v>
      </c>
      <c r="I527" s="18"/>
      <c r="J527" s="18"/>
      <c r="K527" s="18"/>
      <c r="L527" s="88">
        <f>SUM(F527:K527)</f>
        <v>254963.12999999998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409765.75</v>
      </c>
      <c r="G528" s="89">
        <f t="shared" ref="G528:L528" si="37">SUM(G525:G527)</f>
        <v>183050.51</v>
      </c>
      <c r="H528" s="89">
        <f t="shared" si="37"/>
        <v>28297.82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621114.07999999996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70796.149999999994</v>
      </c>
      <c r="G531" s="18">
        <v>33982.15</v>
      </c>
      <c r="H531" s="18"/>
      <c r="I531" s="18"/>
      <c r="J531" s="18"/>
      <c r="K531" s="18"/>
      <c r="L531" s="88">
        <f>SUM(F531:K531)</f>
        <v>104778.29999999999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70796.149999999994</v>
      </c>
      <c r="G532" s="18">
        <v>28318.46</v>
      </c>
      <c r="H532" s="18"/>
      <c r="I532" s="18"/>
      <c r="J532" s="18"/>
      <c r="K532" s="18"/>
      <c r="L532" s="88">
        <f>SUM(F532:K532)</f>
        <v>99114.609999999986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141592.29999999999</v>
      </c>
      <c r="G533" s="89">
        <f t="shared" ref="G533:L533" si="38">SUM(G530:G532)</f>
        <v>62300.61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203892.90999999997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21792.22</v>
      </c>
      <c r="I536" s="18"/>
      <c r="J536" s="18"/>
      <c r="K536" s="18"/>
      <c r="L536" s="88">
        <f>SUM(F536:K536)</f>
        <v>21792.22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22292.21</v>
      </c>
      <c r="I537" s="18"/>
      <c r="J537" s="18"/>
      <c r="K537" s="18"/>
      <c r="L537" s="88">
        <f>SUM(F537:K537)</f>
        <v>22292.21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44084.43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44084.43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146589.81</v>
      </c>
      <c r="I541" s="18"/>
      <c r="J541" s="18"/>
      <c r="K541" s="18"/>
      <c r="L541" s="88">
        <f>SUM(F541:K541)</f>
        <v>146589.81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201563.08</v>
      </c>
      <c r="I542" s="18"/>
      <c r="J542" s="18"/>
      <c r="K542" s="18"/>
      <c r="L542" s="88">
        <f>SUM(F542:K542)</f>
        <v>201563.08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348152.89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348152.89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3147539.92</v>
      </c>
      <c r="G544" s="89">
        <f t="shared" ref="G544:L544" si="41">G523+G528+G533+G538+G543</f>
        <v>1375877.3000000003</v>
      </c>
      <c r="H544" s="89">
        <f t="shared" si="41"/>
        <v>1758220.6400000001</v>
      </c>
      <c r="I544" s="89">
        <f t="shared" si="41"/>
        <v>43895.520000000004</v>
      </c>
      <c r="J544" s="89">
        <f t="shared" si="41"/>
        <v>20932.990000000002</v>
      </c>
      <c r="K544" s="89">
        <f t="shared" si="41"/>
        <v>0</v>
      </c>
      <c r="L544" s="89">
        <f t="shared" si="41"/>
        <v>6346466.3699999992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1932019.7699999998</v>
      </c>
      <c r="G549" s="87">
        <f>L526</f>
        <v>366150.94999999995</v>
      </c>
      <c r="H549" s="87">
        <f>L531</f>
        <v>104778.29999999999</v>
      </c>
      <c r="I549" s="87">
        <f>L536</f>
        <v>21792.22</v>
      </c>
      <c r="J549" s="87">
        <f>L541</f>
        <v>146589.81</v>
      </c>
      <c r="K549" s="87">
        <f>SUM(F549:J549)</f>
        <v>2571331.0499999998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3197202.29</v>
      </c>
      <c r="G550" s="87">
        <f>L527</f>
        <v>254963.12999999998</v>
      </c>
      <c r="H550" s="87">
        <f>L532</f>
        <v>99114.609999999986</v>
      </c>
      <c r="I550" s="87">
        <f>L537</f>
        <v>22292.21</v>
      </c>
      <c r="J550" s="87">
        <f>L542</f>
        <v>201563.08</v>
      </c>
      <c r="K550" s="87">
        <f>SUM(F550:J550)</f>
        <v>3775135.32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5129222.0599999996</v>
      </c>
      <c r="G551" s="89">
        <f t="shared" si="42"/>
        <v>621114.07999999996</v>
      </c>
      <c r="H551" s="89">
        <f t="shared" si="42"/>
        <v>203892.90999999997</v>
      </c>
      <c r="I551" s="89">
        <f t="shared" si="42"/>
        <v>44084.43</v>
      </c>
      <c r="J551" s="89">
        <f t="shared" si="42"/>
        <v>348152.89</v>
      </c>
      <c r="K551" s="89">
        <f t="shared" si="42"/>
        <v>6346466.3699999992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2580</v>
      </c>
      <c r="I577" s="87">
        <f t="shared" si="47"/>
        <v>2580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532.01</v>
      </c>
      <c r="I578" s="87">
        <f t="shared" si="47"/>
        <v>532.01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103727.58</v>
      </c>
      <c r="H581" s="18">
        <v>1138366.54</v>
      </c>
      <c r="I581" s="87">
        <f t="shared" si="47"/>
        <v>1242094.1200000001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v>568824.84</v>
      </c>
      <c r="J590" s="18">
        <v>554946.16</v>
      </c>
      <c r="K590" s="104">
        <f t="shared" ref="K590:K596" si="48">SUM(H590:J590)</f>
        <v>1123771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146589.81</v>
      </c>
      <c r="J591" s="18">
        <v>201563.08</v>
      </c>
      <c r="K591" s="104">
        <f t="shared" si="48"/>
        <v>348152.89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67031.759999999995</v>
      </c>
      <c r="K592" s="104">
        <f t="shared" si="48"/>
        <v>67031.759999999995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14272.23</v>
      </c>
      <c r="J593" s="18">
        <v>97805.34</v>
      </c>
      <c r="K593" s="104">
        <f t="shared" si="48"/>
        <v>112077.56999999999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729686.87999999989</v>
      </c>
      <c r="J597" s="108">
        <f>SUM(J590:J596)</f>
        <v>921346.34</v>
      </c>
      <c r="K597" s="108">
        <f>SUM(K590:K596)</f>
        <v>1651033.2200000002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>
        <v>11309.34</v>
      </c>
      <c r="J603" s="18">
        <v>38425.53</v>
      </c>
      <c r="K603" s="104">
        <f>SUM(H603:J603)</f>
        <v>49734.869999999995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11309.34</v>
      </c>
      <c r="J604" s="108">
        <f>SUM(J601:J603)</f>
        <v>38425.53</v>
      </c>
      <c r="K604" s="108">
        <f>SUM(K601:K603)</f>
        <v>49734.869999999995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3223581.47</v>
      </c>
      <c r="H616" s="109">
        <f>SUM(F51)</f>
        <v>3223581.47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614297.23</v>
      </c>
      <c r="H617" s="109">
        <f>SUM(G51)</f>
        <v>614297.23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573379.91</v>
      </c>
      <c r="H618" s="109">
        <f>SUM(H51)</f>
        <v>573379.91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1295919.0900000001</v>
      </c>
      <c r="H620" s="109">
        <f>SUM(J51)</f>
        <v>1295919.0900000001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1392069.93</v>
      </c>
      <c r="H621" s="109">
        <f>F475</f>
        <v>1392069.9299999997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364764.79</v>
      </c>
      <c r="H622" s="109">
        <f>G475</f>
        <v>364764.79000000004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464070.24</v>
      </c>
      <c r="H623" s="109">
        <f>H475</f>
        <v>464070.24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-23917.23</v>
      </c>
      <c r="H624" s="109">
        <f>I475</f>
        <v>-23917.23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1295919.0900000001</v>
      </c>
      <c r="H625" s="109">
        <f>J475</f>
        <v>1295919.0899999999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46117971.920000009</v>
      </c>
      <c r="H626" s="104">
        <f>SUM(F467)</f>
        <v>46117971.920000002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910581.64</v>
      </c>
      <c r="H627" s="104">
        <f>SUM(G467)</f>
        <v>910581.64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1801207.89</v>
      </c>
      <c r="H628" s="104">
        <f>SUM(H467)</f>
        <v>1801207.89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64688.44</v>
      </c>
      <c r="H630" s="104">
        <f>SUM(J467)</f>
        <v>64688.44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45806782.339999996</v>
      </c>
      <c r="H631" s="104">
        <f>SUM(F471)</f>
        <v>45806782.340000004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1761203.3900000001</v>
      </c>
      <c r="H632" s="104">
        <f>SUM(H471)</f>
        <v>1761203.39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433630.32</v>
      </c>
      <c r="H633" s="104">
        <f>I368</f>
        <v>433630.31999999995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920876.7</v>
      </c>
      <c r="H634" s="104">
        <f>SUM(G471)</f>
        <v>920876.7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64688.439999999995</v>
      </c>
      <c r="H636" s="164">
        <f>SUM(J467)</f>
        <v>64688.44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387371.53</v>
      </c>
      <c r="H638" s="104">
        <f>SUM(F460)</f>
        <v>387371.53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908547.56</v>
      </c>
      <c r="H639" s="104">
        <f>SUM(G460)</f>
        <v>908547.56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1295919.0900000001</v>
      </c>
      <c r="H641" s="104">
        <f>SUM(I460)</f>
        <v>1295919.0900000001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24688.44</v>
      </c>
      <c r="H643" s="104">
        <f>H407</f>
        <v>24688.44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40000</v>
      </c>
      <c r="H644" s="104">
        <f>G407</f>
        <v>40000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64688.44</v>
      </c>
      <c r="H645" s="104">
        <f>L407</f>
        <v>64688.439999999995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1651033.2200000002</v>
      </c>
      <c r="H646" s="104">
        <f>L207+L225+L243</f>
        <v>1651033.2200000002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49734.869999999995</v>
      </c>
      <c r="H647" s="104">
        <f>(J256+J337)-(J254+J335)</f>
        <v>49734.87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729686.88</v>
      </c>
      <c r="H649" s="104">
        <f>I597</f>
        <v>729686.87999999989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921346.34000000008</v>
      </c>
      <c r="H650" s="104">
        <f>J597</f>
        <v>921346.34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40000</v>
      </c>
      <c r="H654" s="104">
        <f>K265+K346</f>
        <v>40000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17039122.34</v>
      </c>
      <c r="H659" s="19">
        <f>(L246+L327+L359)</f>
        <v>25488860.830000002</v>
      </c>
      <c r="I659" s="19">
        <f>SUM(F659:H659)</f>
        <v>42527983.170000002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275436.54854736745</v>
      </c>
      <c r="H660" s="19">
        <f>(L359/IF(SUM(L357:L359)=0,1,SUM(L357:L359))*(SUM(G96:G109)))</f>
        <v>450922.40145263262</v>
      </c>
      <c r="I660" s="19">
        <f>SUM(F660:H660)</f>
        <v>726358.95000000007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729686.88</v>
      </c>
      <c r="H661" s="19">
        <f>(L243+L324)-(J243+J324)</f>
        <v>921346.34000000008</v>
      </c>
      <c r="I661" s="19">
        <f>SUM(F661:H661)</f>
        <v>1651033.2200000002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115036.92</v>
      </c>
      <c r="H662" s="200">
        <f>SUM(H574:H586)+SUM(J601:J603)+L612</f>
        <v>1179904.08</v>
      </c>
      <c r="I662" s="19">
        <f>SUM(F662:H662)</f>
        <v>1294941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15918961.991452632</v>
      </c>
      <c r="H663" s="19">
        <f>H659-SUM(H660:H662)</f>
        <v>22936688.008547369</v>
      </c>
      <c r="I663" s="19">
        <f>I659-SUM(I660:I662)</f>
        <v>38855650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>
        <v>1368.91</v>
      </c>
      <c r="H664" s="249">
        <v>1676.33</v>
      </c>
      <c r="I664" s="19">
        <f>SUM(F664:H664)</f>
        <v>3045.24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>
        <f>ROUND(G663/G664,2)</f>
        <v>11628.93</v>
      </c>
      <c r="H666" s="19">
        <f>ROUND(H663/H664,2)</f>
        <v>13682.68</v>
      </c>
      <c r="I666" s="19">
        <f>ROUND(I663/I664,2)</f>
        <v>12759.47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139.13</v>
      </c>
      <c r="I669" s="19">
        <f>SUM(F669:H669)</f>
        <v>139.13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>
        <f>ROUND((G663+G668)/(G664+G669),2)</f>
        <v>11628.93</v>
      </c>
      <c r="H671" s="19">
        <f>ROUND((H663+H668)/(H664+H669),2)</f>
        <v>12634.09</v>
      </c>
      <c r="I671" s="19">
        <f>ROUND((I663+I668)/(I664+I669),2)</f>
        <v>12201.99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Exeter Region Coop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13059790.890000001</v>
      </c>
      <c r="C9" s="230">
        <f>'DOE25'!G196+'DOE25'!G214+'DOE25'!G232+'DOE25'!G275+'DOE25'!G294+'DOE25'!G313</f>
        <v>5681639.4499999993</v>
      </c>
    </row>
    <row r="10" spans="1:3" x14ac:dyDescent="0.2">
      <c r="A10" t="s">
        <v>779</v>
      </c>
      <c r="B10" s="241">
        <v>11978172.970000001</v>
      </c>
      <c r="C10" s="241">
        <v>5211056.42</v>
      </c>
    </row>
    <row r="11" spans="1:3" x14ac:dyDescent="0.2">
      <c r="A11" t="s">
        <v>780</v>
      </c>
      <c r="B11" s="241">
        <v>485864.75</v>
      </c>
      <c r="C11" s="241">
        <v>211386.76</v>
      </c>
    </row>
    <row r="12" spans="1:3" x14ac:dyDescent="0.2">
      <c r="A12" t="s">
        <v>781</v>
      </c>
      <c r="B12" s="241">
        <v>595753.17000000004</v>
      </c>
      <c r="C12" s="241">
        <v>259196.27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13059790.890000001</v>
      </c>
      <c r="C13" s="232">
        <f>SUM(C10:C12)</f>
        <v>5681639.4499999993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2596181.87</v>
      </c>
      <c r="C18" s="230">
        <f>'DOE25'!G197+'DOE25'!G215+'DOE25'!G233+'DOE25'!G276+'DOE25'!G295+'DOE25'!G314</f>
        <v>1130526.1800000002</v>
      </c>
    </row>
    <row r="19" spans="1:3" x14ac:dyDescent="0.2">
      <c r="A19" t="s">
        <v>779</v>
      </c>
      <c r="B19" s="241">
        <v>1453683.73</v>
      </c>
      <c r="C19" s="241">
        <v>633017.1</v>
      </c>
    </row>
    <row r="20" spans="1:3" x14ac:dyDescent="0.2">
      <c r="A20" t="s">
        <v>780</v>
      </c>
      <c r="B20" s="241">
        <v>979225.44</v>
      </c>
      <c r="C20" s="241">
        <v>426410.8</v>
      </c>
    </row>
    <row r="21" spans="1:3" x14ac:dyDescent="0.2">
      <c r="A21" t="s">
        <v>781</v>
      </c>
      <c r="B21" s="241">
        <v>163272.70000000001</v>
      </c>
      <c r="C21" s="241">
        <v>71098.28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2596181.87</v>
      </c>
      <c r="C22" s="232">
        <f>SUM(C19:C21)</f>
        <v>1130526.18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1200228.24</v>
      </c>
      <c r="C27" s="235">
        <f>'DOE25'!G198+'DOE25'!G216+'DOE25'!G234+'DOE25'!G277+'DOE25'!G296+'DOE25'!G315</f>
        <v>477358.88</v>
      </c>
    </row>
    <row r="28" spans="1:3" x14ac:dyDescent="0.2">
      <c r="A28" t="s">
        <v>779</v>
      </c>
      <c r="B28" s="241">
        <v>915631.87</v>
      </c>
      <c r="C28" s="241">
        <v>364168.24</v>
      </c>
    </row>
    <row r="29" spans="1:3" x14ac:dyDescent="0.2">
      <c r="A29" t="s">
        <v>780</v>
      </c>
      <c r="B29" s="241">
        <v>91862.94</v>
      </c>
      <c r="C29" s="241">
        <v>36536.04</v>
      </c>
    </row>
    <row r="30" spans="1:3" x14ac:dyDescent="0.2">
      <c r="A30" t="s">
        <v>781</v>
      </c>
      <c r="B30" s="241">
        <v>192733.43</v>
      </c>
      <c r="C30" s="241">
        <v>76654.600000000006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1200228.24</v>
      </c>
      <c r="C31" s="232">
        <f>SUM(C28:C30)</f>
        <v>477358.88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522231.99</v>
      </c>
      <c r="C36" s="236">
        <f>'DOE25'!G199+'DOE25'!G217+'DOE25'!G235+'DOE25'!G278+'DOE25'!G297+'DOE25'!G316</f>
        <v>220372.33</v>
      </c>
    </row>
    <row r="37" spans="1:3" x14ac:dyDescent="0.2">
      <c r="A37" t="s">
        <v>779</v>
      </c>
      <c r="B37" s="241">
        <v>434566.99</v>
      </c>
      <c r="C37" s="241">
        <v>183379.31</v>
      </c>
    </row>
    <row r="38" spans="1:3" x14ac:dyDescent="0.2">
      <c r="A38" t="s">
        <v>780</v>
      </c>
      <c r="B38" s="241">
        <v>0</v>
      </c>
      <c r="C38" s="241">
        <v>0</v>
      </c>
    </row>
    <row r="39" spans="1:3" x14ac:dyDescent="0.2">
      <c r="A39" t="s">
        <v>781</v>
      </c>
      <c r="B39" s="241">
        <v>87665</v>
      </c>
      <c r="C39" s="241">
        <v>36993.019999999997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522231.99</v>
      </c>
      <c r="C40" s="232">
        <f>SUM(C37:C39)</f>
        <v>220372.33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Exeter Region Coop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27313636.869999997</v>
      </c>
      <c r="D5" s="20">
        <f>SUM('DOE25'!L196:L199)+SUM('DOE25'!L214:L217)+SUM('DOE25'!L232:L235)-F5-G5</f>
        <v>27280863.339999996</v>
      </c>
      <c r="E5" s="244"/>
      <c r="F5" s="256">
        <f>SUM('DOE25'!J196:J199)+SUM('DOE25'!J214:J217)+SUM('DOE25'!J232:J235)</f>
        <v>31830.850000000002</v>
      </c>
      <c r="G5" s="53">
        <f>SUM('DOE25'!K196:K199)+SUM('DOE25'!K214:K217)+SUM('DOE25'!K232:K235)</f>
        <v>942.68</v>
      </c>
      <c r="H5" s="260"/>
    </row>
    <row r="6" spans="1:9" x14ac:dyDescent="0.2">
      <c r="A6" s="32">
        <v>2100</v>
      </c>
      <c r="B6" t="s">
        <v>801</v>
      </c>
      <c r="C6" s="246">
        <f t="shared" si="0"/>
        <v>2719448.6100000003</v>
      </c>
      <c r="D6" s="20">
        <f>'DOE25'!L201+'DOE25'!L219+'DOE25'!L237-F6-G6</f>
        <v>2719448.6100000003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486338.48</v>
      </c>
      <c r="D7" s="20">
        <f>'DOE25'!L202+'DOE25'!L220+'DOE25'!L238-F7-G7</f>
        <v>486338.48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1175345.8999999999</v>
      </c>
      <c r="D8" s="244"/>
      <c r="E8" s="20">
        <f>'DOE25'!L203+'DOE25'!L221+'DOE25'!L239-F8-G8-D9-D11</f>
        <v>1175345.8999999999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 x14ac:dyDescent="0.2">
      <c r="A9" s="32">
        <v>2310</v>
      </c>
      <c r="B9" t="s">
        <v>818</v>
      </c>
      <c r="C9" s="246">
        <f t="shared" si="0"/>
        <v>85500.92</v>
      </c>
      <c r="D9" s="245">
        <v>85500.92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19000</v>
      </c>
      <c r="D10" s="244"/>
      <c r="E10" s="245">
        <v>19000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147301.75</v>
      </c>
      <c r="D11" s="245">
        <v>147301.75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2469327.69</v>
      </c>
      <c r="D12" s="20">
        <f>'DOE25'!L204+'DOE25'!L222+'DOE25'!L240-F12-G12</f>
        <v>2453244.7399999998</v>
      </c>
      <c r="E12" s="244"/>
      <c r="F12" s="256">
        <f>'DOE25'!J204+'DOE25'!J222+'DOE25'!J240</f>
        <v>1428.49</v>
      </c>
      <c r="G12" s="53">
        <f>'DOE25'!K204+'DOE25'!K222+'DOE25'!K240</f>
        <v>14654.46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4680757.8900000006</v>
      </c>
      <c r="D14" s="20">
        <f>'DOE25'!L206+'DOE25'!L224+'DOE25'!L242-F14-G14</f>
        <v>4668019.790000001</v>
      </c>
      <c r="E14" s="244"/>
      <c r="F14" s="256">
        <f>'DOE25'!J206+'DOE25'!J224+'DOE25'!J242</f>
        <v>12738.1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1651033.2200000002</v>
      </c>
      <c r="D15" s="20">
        <f>'DOE25'!L207+'DOE25'!L225+'DOE25'!L243-F15-G15</f>
        <v>1651033.2200000002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113802.51000000001</v>
      </c>
      <c r="D17" s="20">
        <f>'DOE25'!L250-F17-G17</f>
        <v>113802.51000000001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4492993.5</v>
      </c>
      <c r="D25" s="244"/>
      <c r="E25" s="244"/>
      <c r="F25" s="259"/>
      <c r="G25" s="257"/>
      <c r="H25" s="258">
        <f>'DOE25'!L259+'DOE25'!L260+'DOE25'!L340+'DOE25'!L341</f>
        <v>4492993.5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539082.27999999991</v>
      </c>
      <c r="D29" s="20">
        <f>'DOE25'!L357+'DOE25'!L358+'DOE25'!L359-'DOE25'!I366-F29-G29</f>
        <v>510721.21</v>
      </c>
      <c r="E29" s="244"/>
      <c r="F29" s="256">
        <f>'DOE25'!J357+'DOE25'!J358+'DOE25'!J359</f>
        <v>18461.88</v>
      </c>
      <c r="G29" s="53">
        <f>'DOE25'!K357+'DOE25'!K358+'DOE25'!K359</f>
        <v>9899.19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1761203.3900000001</v>
      </c>
      <c r="D31" s="20">
        <f>'DOE25'!L289+'DOE25'!L308+'DOE25'!L327+'DOE25'!L332+'DOE25'!L333+'DOE25'!L334-F31-G31</f>
        <v>855365.88</v>
      </c>
      <c r="E31" s="244"/>
      <c r="F31" s="256">
        <f>'DOE25'!J289+'DOE25'!J308+'DOE25'!J327+'DOE25'!J332+'DOE25'!J333+'DOE25'!J334</f>
        <v>3737.43</v>
      </c>
      <c r="G31" s="53">
        <f>'DOE25'!K289+'DOE25'!K308+'DOE25'!K327+'DOE25'!K332+'DOE25'!K333+'DOE25'!K334</f>
        <v>902100.08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40971640.449999996</v>
      </c>
      <c r="E33" s="247">
        <f>SUM(E5:E31)</f>
        <v>1194345.8999999999</v>
      </c>
      <c r="F33" s="247">
        <f>SUM(F5:F31)</f>
        <v>68196.75</v>
      </c>
      <c r="G33" s="247">
        <f>SUM(G5:G31)</f>
        <v>927596.40999999992</v>
      </c>
      <c r="H33" s="247">
        <f>SUM(H5:H31)</f>
        <v>4492993.5</v>
      </c>
    </row>
    <row r="35" spans="2:8" ht="12" thickBot="1" x14ac:dyDescent="0.25">
      <c r="B35" s="254" t="s">
        <v>847</v>
      </c>
      <c r="D35" s="255">
        <f>E33</f>
        <v>1194345.8999999999</v>
      </c>
      <c r="E35" s="250"/>
    </row>
    <row r="36" spans="2:8" ht="12" thickTop="1" x14ac:dyDescent="0.2">
      <c r="B36" t="s">
        <v>815</v>
      </c>
      <c r="D36" s="20">
        <f>D33</f>
        <v>40971640.449999996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1389338.28</v>
      </c>
      <c r="D8" s="95">
        <f>'DOE25'!G9</f>
        <v>0</v>
      </c>
      <c r="E8" s="95">
        <f>'DOE25'!H9</f>
        <v>255876.03</v>
      </c>
      <c r="F8" s="95">
        <f>'DOE25'!I9</f>
        <v>0</v>
      </c>
      <c r="G8" s="95">
        <f>'DOE25'!J9</f>
        <v>1295919.0900000001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845255.43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53190.720000000001</v>
      </c>
      <c r="D11" s="95">
        <f>'DOE25'!G12</f>
        <v>317197.49</v>
      </c>
      <c r="E11" s="95">
        <f>'DOE25'!H12</f>
        <v>213338.12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893338.51</v>
      </c>
      <c r="D12" s="95">
        <f>'DOE25'!G13</f>
        <v>297099.74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28914.01</v>
      </c>
      <c r="D13" s="95">
        <f>'DOE25'!G14</f>
        <v>0</v>
      </c>
      <c r="E13" s="95">
        <f>'DOE25'!H14</f>
        <v>104165.75999999999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13544.52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3223581.47</v>
      </c>
      <c r="D18" s="41">
        <f>SUM(D8:D17)</f>
        <v>614297.23</v>
      </c>
      <c r="E18" s="41">
        <f>SUM(E8:E17)</f>
        <v>573379.91</v>
      </c>
      <c r="F18" s="41">
        <f>SUM(F8:F17)</f>
        <v>0</v>
      </c>
      <c r="G18" s="41">
        <f>SUM(G8:G17)</f>
        <v>1295919.0900000001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470037.62</v>
      </c>
      <c r="D21" s="95">
        <f>'DOE25'!G22</f>
        <v>0</v>
      </c>
      <c r="E21" s="95">
        <f>'DOE25'!H22</f>
        <v>89209.73</v>
      </c>
      <c r="F21" s="95">
        <f>'DOE25'!I22</f>
        <v>23917.23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807749.92</v>
      </c>
      <c r="D22" s="95">
        <f>'DOE25'!G23</f>
        <v>249513.62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431116.89</v>
      </c>
      <c r="D23" s="95">
        <f>'DOE25'!G24</f>
        <v>18.82</v>
      </c>
      <c r="E23" s="95">
        <f>'DOE25'!H24</f>
        <v>1818.94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78987.850000000006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16490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43619.26</v>
      </c>
      <c r="D30" s="95">
        <f>'DOE25'!G31</f>
        <v>0</v>
      </c>
      <c r="E30" s="95">
        <f>'DOE25'!H31</f>
        <v>1791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1831511.5400000003</v>
      </c>
      <c r="D31" s="41">
        <f>SUM(D21:D30)</f>
        <v>249532.44</v>
      </c>
      <c r="E31" s="41">
        <f>SUM(E21:E30)</f>
        <v>109309.67</v>
      </c>
      <c r="F31" s="41">
        <f>SUM(F21:F30)</f>
        <v>23917.23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364764.79</v>
      </c>
      <c r="E46" s="95">
        <f>'DOE25'!H47</f>
        <v>464070.24</v>
      </c>
      <c r="F46" s="95">
        <f>'DOE25'!I47</f>
        <v>-23917.23</v>
      </c>
      <c r="G46" s="95">
        <f>'DOE25'!J47</f>
        <v>1295919.0900000001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1392069.93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1392069.93</v>
      </c>
      <c r="D49" s="41">
        <f>SUM(D34:D48)</f>
        <v>364764.79</v>
      </c>
      <c r="E49" s="41">
        <f>SUM(E34:E48)</f>
        <v>464070.24</v>
      </c>
      <c r="F49" s="41">
        <f>SUM(F34:F48)</f>
        <v>-23917.23</v>
      </c>
      <c r="G49" s="41">
        <f>SUM(G34:G48)</f>
        <v>1295919.0900000001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3223581.47</v>
      </c>
      <c r="D50" s="41">
        <f>D49+D31</f>
        <v>614297.23</v>
      </c>
      <c r="E50" s="41">
        <f>E49+E31</f>
        <v>573379.91</v>
      </c>
      <c r="F50" s="41">
        <f>F49+F31</f>
        <v>0</v>
      </c>
      <c r="G50" s="41">
        <f>G49+G31</f>
        <v>1295919.0900000001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30206311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1015090.69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102727.4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646.28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24688.44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686361.67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412555.93</v>
      </c>
      <c r="D60" s="95">
        <f>SUM('DOE25'!G97:G109)</f>
        <v>39997.279999999999</v>
      </c>
      <c r="E60" s="95">
        <f>SUM('DOE25'!H97:H109)</f>
        <v>1318102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1428292.9</v>
      </c>
      <c r="D61" s="130">
        <f>SUM(D56:D60)</f>
        <v>726358.95000000007</v>
      </c>
      <c r="E61" s="130">
        <f>SUM(E56:E60)</f>
        <v>1420829.4</v>
      </c>
      <c r="F61" s="130">
        <f>SUM(F56:F60)</f>
        <v>0</v>
      </c>
      <c r="G61" s="130">
        <f>SUM(G56:G60)</f>
        <v>24688.44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31634603.899999999</v>
      </c>
      <c r="D62" s="22">
        <f>D55+D61</f>
        <v>726358.95000000007</v>
      </c>
      <c r="E62" s="22">
        <f>E55+E61</f>
        <v>1420829.4</v>
      </c>
      <c r="F62" s="22">
        <f>F55+F61</f>
        <v>0</v>
      </c>
      <c r="G62" s="22">
        <f>G55+G61</f>
        <v>24688.44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5114441.87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5342412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1560.13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10458414.000000002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2070784.62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183480.52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1228107.53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8236.57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3482372.67</v>
      </c>
      <c r="D77" s="130">
        <f>SUM(D71:D76)</f>
        <v>8236.57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13940786.670000002</v>
      </c>
      <c r="D80" s="130">
        <f>SUM(D78:D79)+D77+D69</f>
        <v>8236.57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307727.83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187336.28</v>
      </c>
      <c r="D87" s="95">
        <f>SUM('DOE25'!G152:G160)</f>
        <v>175986.12</v>
      </c>
      <c r="E87" s="95">
        <f>SUM('DOE25'!H152:H160)</f>
        <v>380378.49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47517.24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542581.35</v>
      </c>
      <c r="D90" s="131">
        <f>SUM(D84:D89)</f>
        <v>175986.12</v>
      </c>
      <c r="E90" s="131">
        <f>SUM(E84:E89)</f>
        <v>380378.49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40000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40000</v>
      </c>
    </row>
    <row r="103" spans="1:7" ht="12.75" thickTop="1" thickBot="1" x14ac:dyDescent="0.25">
      <c r="A103" s="33" t="s">
        <v>765</v>
      </c>
      <c r="C103" s="86">
        <f>C62+C80+C90+C102</f>
        <v>46117971.920000002</v>
      </c>
      <c r="D103" s="86">
        <f>D62+D80+D90+D102</f>
        <v>910581.64</v>
      </c>
      <c r="E103" s="86">
        <f>E62+E80+E90+E102</f>
        <v>1801207.89</v>
      </c>
      <c r="F103" s="86">
        <f>F62+F80+F90+F102</f>
        <v>0</v>
      </c>
      <c r="G103" s="86">
        <f>G62+G80+G102</f>
        <v>64688.44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19454745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5129322.0599999996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1790415.8199999998</v>
      </c>
      <c r="D110" s="24" t="s">
        <v>289</v>
      </c>
      <c r="E110" s="95">
        <f>('DOE25'!L277)+('DOE25'!L296)+('DOE25'!L315)</f>
        <v>87802.74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939153.99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113802.51000000001</v>
      </c>
      <c r="D113" s="24" t="s">
        <v>289</v>
      </c>
      <c r="E113" s="95">
        <f>+ SUM('DOE25'!L332:L334)</f>
        <v>882788.25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27427439.379999999</v>
      </c>
      <c r="D114" s="86">
        <f>SUM(D108:D113)</f>
        <v>0</v>
      </c>
      <c r="E114" s="86">
        <f>SUM(E108:E113)</f>
        <v>970590.99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2719448.6100000003</v>
      </c>
      <c r="D117" s="24" t="s">
        <v>289</v>
      </c>
      <c r="E117" s="95">
        <f>+('DOE25'!L280)+('DOE25'!L299)+('DOE25'!L318)</f>
        <v>790612.4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486338.48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1408148.5699999998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2469327.69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4680757.8900000006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1651033.2200000002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920876.7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13415054.460000001</v>
      </c>
      <c r="D127" s="86">
        <f>SUM(D117:D126)</f>
        <v>920876.7</v>
      </c>
      <c r="E127" s="86">
        <f>SUM(E117:E126)</f>
        <v>790612.4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2795557.66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1697435.84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7853.28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56835.159999999996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-24688.439999999995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431295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4964288.5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45806782.340000004</v>
      </c>
      <c r="D144" s="86">
        <f>(D114+D127+D143)</f>
        <v>920876.7</v>
      </c>
      <c r="E144" s="86">
        <f>(E114+E127+E143)</f>
        <v>1761203.3900000001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1/97</v>
      </c>
      <c r="C151" s="152" t="str">
        <f>'DOE25'!G490</f>
        <v>8/03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1/15/17</v>
      </c>
      <c r="C152" s="152" t="str">
        <f>'DOE25'!G491</f>
        <v>8/15/23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15600000</v>
      </c>
      <c r="C153" s="137">
        <f>'DOE25'!G492</f>
        <v>42695000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5.46</v>
      </c>
      <c r="C154" s="137">
        <f>'DOE25'!G493</f>
        <v>3.7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2824619.16</v>
      </c>
      <c r="C155" s="137">
        <f>'DOE25'!G494</f>
        <v>22675464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25500083.16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545119.87</v>
      </c>
      <c r="C157" s="137">
        <f>'DOE25'!G496</f>
        <v>2250437.79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2795557.66</v>
      </c>
    </row>
    <row r="158" spans="1:9" x14ac:dyDescent="0.2">
      <c r="A158" s="22" t="s">
        <v>35</v>
      </c>
      <c r="B158" s="137">
        <f>'DOE25'!F497</f>
        <v>2279499.29</v>
      </c>
      <c r="C158" s="137">
        <f>'DOE25'!G497</f>
        <v>20425026.210000001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22704525.5</v>
      </c>
    </row>
    <row r="159" spans="1:9" x14ac:dyDescent="0.2">
      <c r="A159" s="22" t="s">
        <v>36</v>
      </c>
      <c r="B159" s="137">
        <f>'DOE25'!F498</f>
        <v>4254200.71</v>
      </c>
      <c r="C159" s="137">
        <f>'DOE25'!G498</f>
        <v>17557376.789999999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21811577.5</v>
      </c>
    </row>
    <row r="160" spans="1:9" x14ac:dyDescent="0.2">
      <c r="A160" s="22" t="s">
        <v>37</v>
      </c>
      <c r="B160" s="137">
        <f>'DOE25'!F499</f>
        <v>6533700</v>
      </c>
      <c r="C160" s="137">
        <f>'DOE25'!G499</f>
        <v>37982403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44516103</v>
      </c>
    </row>
    <row r="161" spans="1:7" x14ac:dyDescent="0.2">
      <c r="A161" s="22" t="s">
        <v>38</v>
      </c>
      <c r="B161" s="137">
        <f>'DOE25'!F500</f>
        <v>511898.3</v>
      </c>
      <c r="C161" s="137">
        <f>'DOE25'!G500</f>
        <v>2152892.9900000002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2664791.29</v>
      </c>
    </row>
    <row r="162" spans="1:7" x14ac:dyDescent="0.2">
      <c r="A162" s="22" t="s">
        <v>39</v>
      </c>
      <c r="B162" s="137">
        <f>'DOE25'!F501</f>
        <v>795001.7</v>
      </c>
      <c r="C162" s="137">
        <f>'DOE25'!G501</f>
        <v>1037835.01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1832836.71</v>
      </c>
    </row>
    <row r="163" spans="1:7" x14ac:dyDescent="0.2">
      <c r="A163" s="22" t="s">
        <v>246</v>
      </c>
      <c r="B163" s="137">
        <f>'DOE25'!F502</f>
        <v>1306900</v>
      </c>
      <c r="C163" s="137">
        <f>'DOE25'!G502</f>
        <v>3190728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4497628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Exeter Region Coop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11629</v>
      </c>
    </row>
    <row r="6" spans="1:4" x14ac:dyDescent="0.2">
      <c r="B6" t="s">
        <v>62</v>
      </c>
      <c r="C6" s="179">
        <f>IF('DOE25'!H664+'DOE25'!H669=0,0,ROUND('DOE25'!H671,0))</f>
        <v>12634</v>
      </c>
    </row>
    <row r="7" spans="1:4" x14ac:dyDescent="0.2">
      <c r="B7" t="s">
        <v>705</v>
      </c>
      <c r="C7" s="179">
        <f>IF('DOE25'!I664+'DOE25'!I669=0,0,ROUND('DOE25'!I671,0))</f>
        <v>12202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19454745</v>
      </c>
      <c r="D10" s="182">
        <f>ROUND((C10/$C$28)*100,1)</f>
        <v>43.3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5129322</v>
      </c>
      <c r="D11" s="182">
        <f>ROUND((C11/$C$28)*100,1)</f>
        <v>11.4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1878219</v>
      </c>
      <c r="D12" s="182">
        <f>ROUND((C12/$C$28)*100,1)</f>
        <v>4.2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939154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3510061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486338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1408149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2469328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4680758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1651033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996591</v>
      </c>
      <c r="D24" s="182">
        <f t="shared" si="0"/>
        <v>2.2000000000000002</v>
      </c>
    </row>
    <row r="25" spans="1:4" x14ac:dyDescent="0.2">
      <c r="A25">
        <v>5120</v>
      </c>
      <c r="B25" t="s">
        <v>720</v>
      </c>
      <c r="C25" s="179">
        <f>ROUND('DOE25'!L260+'DOE25'!L341,0)</f>
        <v>1697436</v>
      </c>
      <c r="D25" s="182">
        <f t="shared" si="0"/>
        <v>3.8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431295</v>
      </c>
      <c r="D26" s="182">
        <f t="shared" si="0"/>
        <v>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194518.04999999993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44926947.049999997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44926947.049999997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2795558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30206311</v>
      </c>
      <c r="D35" s="182">
        <f t="shared" ref="D35:D40" si="1">ROUND((C35/$C$41)*100,1)</f>
        <v>62.8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2873810.7399999984</v>
      </c>
      <c r="D36" s="182">
        <f t="shared" si="1"/>
        <v>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10458414</v>
      </c>
      <c r="D37" s="182">
        <f t="shared" si="1"/>
        <v>21.7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3490609</v>
      </c>
      <c r="D38" s="182">
        <f t="shared" si="1"/>
        <v>7.3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1098946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48128090.739999995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Exeter Region Coop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5:M85"/>
    <mergeCell ref="C86:M86"/>
    <mergeCell ref="C87:M87"/>
    <mergeCell ref="C88:M88"/>
    <mergeCell ref="C89:M89"/>
    <mergeCell ref="C90:M90"/>
    <mergeCell ref="C79:M79"/>
    <mergeCell ref="C80:M80"/>
    <mergeCell ref="C81:M81"/>
    <mergeCell ref="C82:M82"/>
    <mergeCell ref="C83:M83"/>
    <mergeCell ref="C84:M84"/>
    <mergeCell ref="C73:M73"/>
    <mergeCell ref="C74:M74"/>
    <mergeCell ref="C75:M75"/>
    <mergeCell ref="C76:M76"/>
    <mergeCell ref="C77:M77"/>
    <mergeCell ref="C78:M78"/>
    <mergeCell ref="C66:M66"/>
    <mergeCell ref="C67:M67"/>
    <mergeCell ref="C68:M68"/>
    <mergeCell ref="C69:M69"/>
    <mergeCell ref="C70:M70"/>
    <mergeCell ref="A72:E72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26:M26"/>
    <mergeCell ref="C27:M27"/>
    <mergeCell ref="C28:M28"/>
    <mergeCell ref="C21:M21"/>
    <mergeCell ref="C22:M22"/>
    <mergeCell ref="C62:M62"/>
    <mergeCell ref="C63:M63"/>
    <mergeCell ref="C18:M18"/>
    <mergeCell ref="C19:M19"/>
    <mergeCell ref="C52:M52"/>
    <mergeCell ref="C50:M50"/>
    <mergeCell ref="C47:M47"/>
    <mergeCell ref="C48:M48"/>
    <mergeCell ref="C49:M49"/>
    <mergeCell ref="C51:M51"/>
    <mergeCell ref="C23:M23"/>
    <mergeCell ref="C24:M24"/>
    <mergeCell ref="C45:M45"/>
    <mergeCell ref="C46:M46"/>
    <mergeCell ref="C44:M44"/>
    <mergeCell ref="C43:M43"/>
    <mergeCell ref="A1:I1"/>
    <mergeCell ref="C3:M3"/>
    <mergeCell ref="C4:M4"/>
    <mergeCell ref="F2:I2"/>
    <mergeCell ref="A2:E2"/>
    <mergeCell ref="DP29:DZ29"/>
    <mergeCell ref="C31:M31"/>
    <mergeCell ref="P31:Z31"/>
    <mergeCell ref="C10:M10"/>
    <mergeCell ref="C11:M11"/>
    <mergeCell ref="C12:M12"/>
    <mergeCell ref="C20:M20"/>
    <mergeCell ref="C29:M29"/>
    <mergeCell ref="C25:M25"/>
    <mergeCell ref="C5:M5"/>
    <mergeCell ref="C6:M6"/>
    <mergeCell ref="C7:M7"/>
    <mergeCell ref="C8:M8"/>
    <mergeCell ref="C9:M9"/>
    <mergeCell ref="C30:M30"/>
    <mergeCell ref="EC29:EM29"/>
    <mergeCell ref="EP29:EZ29"/>
    <mergeCell ref="FC29:FM29"/>
    <mergeCell ref="P32:Z32"/>
    <mergeCell ref="P30:Z30"/>
    <mergeCell ref="CP29:CZ29"/>
    <mergeCell ref="DC29:DM29"/>
    <mergeCell ref="P29:Z29"/>
    <mergeCell ref="AC29:AM29"/>
    <mergeCell ref="AP29:AZ29"/>
    <mergeCell ref="AC30:AM30"/>
    <mergeCell ref="CC30:CM30"/>
    <mergeCell ref="BC29:BM29"/>
    <mergeCell ref="BP29:BZ29"/>
    <mergeCell ref="CC29:CM29"/>
    <mergeCell ref="BC30:BM30"/>
    <mergeCell ref="BP30:BZ30"/>
    <mergeCell ref="AP30:AZ30"/>
    <mergeCell ref="AP31:AZ31"/>
    <mergeCell ref="BC32:BM32"/>
    <mergeCell ref="BP31:BZ31"/>
    <mergeCell ref="IP29:IV29"/>
    <mergeCell ref="HP30:HZ30"/>
    <mergeCell ref="IC30:IM30"/>
    <mergeCell ref="IP30:IV30"/>
    <mergeCell ref="IP31:IV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CC31:CM31"/>
    <mergeCell ref="CP31:CZ31"/>
    <mergeCell ref="C33:M33"/>
    <mergeCell ref="C37:M37"/>
    <mergeCell ref="C38:M38"/>
    <mergeCell ref="AC32:AM32"/>
    <mergeCell ref="AP32:AZ32"/>
    <mergeCell ref="AC38:AM38"/>
    <mergeCell ref="AP38:AZ38"/>
    <mergeCell ref="P38:Z38"/>
    <mergeCell ref="AC31:AM31"/>
    <mergeCell ref="FP29:FZ29"/>
    <mergeCell ref="GC29:GM29"/>
    <mergeCell ref="GP29:GZ29"/>
    <mergeCell ref="HC30:HM30"/>
    <mergeCell ref="IC29:IM29"/>
    <mergeCell ref="IC31:IM31"/>
    <mergeCell ref="GP31:GZ31"/>
    <mergeCell ref="HC31:HM31"/>
    <mergeCell ref="HP31:HZ31"/>
    <mergeCell ref="GP32:GZ32"/>
    <mergeCell ref="FC32:FM32"/>
    <mergeCell ref="FP38:FZ38"/>
    <mergeCell ref="BP38:BZ38"/>
    <mergeCell ref="BP32:BZ32"/>
    <mergeCell ref="BC38:BM38"/>
    <mergeCell ref="FC30:FM30"/>
    <mergeCell ref="FP30:FZ30"/>
    <mergeCell ref="GC31:GM31"/>
    <mergeCell ref="DC31:DM31"/>
    <mergeCell ref="DP31:DZ31"/>
    <mergeCell ref="BC31:BM31"/>
    <mergeCell ref="CP32:CZ32"/>
    <mergeCell ref="CP30:CZ30"/>
    <mergeCell ref="DC30:DM30"/>
    <mergeCell ref="DP30:DZ30"/>
    <mergeCell ref="EC30:EM30"/>
    <mergeCell ref="EP30:EZ30"/>
    <mergeCell ref="GC30:GM30"/>
    <mergeCell ref="CC32:CM32"/>
    <mergeCell ref="CP38:CZ38"/>
    <mergeCell ref="DC38:DM38"/>
    <mergeCell ref="GC38:GM38"/>
    <mergeCell ref="GP30:GZ30"/>
    <mergeCell ref="DP38:DZ38"/>
    <mergeCell ref="EC38:EM38"/>
    <mergeCell ref="BC39:BM39"/>
    <mergeCell ref="IP38:IV38"/>
    <mergeCell ref="CC38:CM38"/>
    <mergeCell ref="HP39:HZ39"/>
    <mergeCell ref="HC39:HM39"/>
    <mergeCell ref="GC39:GM39"/>
    <mergeCell ref="HP32:HZ32"/>
    <mergeCell ref="IC32:IM32"/>
    <mergeCell ref="IP32:IV32"/>
    <mergeCell ref="GP38:GZ38"/>
    <mergeCell ref="HC38:HM38"/>
    <mergeCell ref="HP38:HZ38"/>
    <mergeCell ref="IC38:IM38"/>
    <mergeCell ref="EP38:EZ38"/>
    <mergeCell ref="FC38:FM38"/>
    <mergeCell ref="HC32:HM32"/>
    <mergeCell ref="DC32:DM32"/>
    <mergeCell ref="DP32:DZ32"/>
    <mergeCell ref="EC32:EM32"/>
    <mergeCell ref="EP32:EZ32"/>
    <mergeCell ref="FP32:FZ32"/>
    <mergeCell ref="GC32:GM32"/>
    <mergeCell ref="IC40:IM40"/>
    <mergeCell ref="IP40:IV40"/>
    <mergeCell ref="GC40:GM40"/>
    <mergeCell ref="GP40:GZ40"/>
    <mergeCell ref="HC40:HM40"/>
    <mergeCell ref="HP40:HZ40"/>
    <mergeCell ref="EC40:EM40"/>
    <mergeCell ref="FP40:FZ40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IP39:IV39"/>
    <mergeCell ref="EP39:EZ39"/>
    <mergeCell ref="FC39:FM39"/>
    <mergeCell ref="FP39:FZ39"/>
    <mergeCell ref="GP39:GZ39"/>
    <mergeCell ref="IC39:IM39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FC40:FM40"/>
    <mergeCell ref="CC40:CM40"/>
    <mergeCell ref="CP40:CZ40"/>
    <mergeCell ref="DC40:DM40"/>
    <mergeCell ref="EP40:EZ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2012-10-18T19:06:28Z</cp:lastPrinted>
  <dcterms:created xsi:type="dcterms:W3CDTF">1997-12-04T19:04:30Z</dcterms:created>
  <dcterms:modified xsi:type="dcterms:W3CDTF">2012-11-21T14:30:11Z</dcterms:modified>
</cp:coreProperties>
</file>