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04" i="1" l="1"/>
  <c r="H206" i="1"/>
  <c r="H242" i="1"/>
  <c r="F471" i="1"/>
  <c r="H233" i="1"/>
  <c r="H197" i="1"/>
  <c r="G522" i="1"/>
  <c r="F522" i="1"/>
  <c r="G520" i="1"/>
  <c r="F520" i="1"/>
  <c r="C39" i="12"/>
  <c r="I243" i="1"/>
  <c r="I207" i="1"/>
  <c r="H590" i="1"/>
  <c r="J594" i="1"/>
  <c r="H594" i="1"/>
  <c r="J593" i="1"/>
  <c r="H593" i="1"/>
  <c r="J591" i="1"/>
  <c r="H591" i="1"/>
  <c r="J590" i="1"/>
  <c r="J592" i="1" l="1"/>
  <c r="F581" i="1"/>
  <c r="F579" i="1"/>
  <c r="H525" i="1"/>
  <c r="H522" i="1"/>
  <c r="H520" i="1"/>
  <c r="J472" i="1"/>
  <c r="J467" i="1"/>
  <c r="H109" i="1" l="1"/>
  <c r="H48" i="1"/>
  <c r="H471" i="1"/>
  <c r="H467" i="1"/>
  <c r="G439" i="1"/>
  <c r="H394" i="1"/>
  <c r="H388" i="1"/>
  <c r="H284" i="1"/>
  <c r="G284" i="1"/>
  <c r="J275" i="1"/>
  <c r="H275" i="1"/>
  <c r="G275" i="1"/>
  <c r="F275" i="1"/>
  <c r="I315" i="1"/>
  <c r="J315" i="1"/>
  <c r="H319" i="1"/>
  <c r="F314" i="1"/>
  <c r="F319" i="1"/>
  <c r="H283" i="1"/>
  <c r="H281" i="1"/>
  <c r="F276" i="1"/>
  <c r="F281" i="1"/>
  <c r="H276" i="1"/>
  <c r="J276" i="1"/>
  <c r="I276" i="1"/>
  <c r="G276" i="1"/>
  <c r="I275" i="1"/>
  <c r="H95" i="1"/>
  <c r="H13" i="1"/>
  <c r="H12" i="1"/>
  <c r="H359" i="1"/>
  <c r="H357" i="1"/>
  <c r="K241" i="1"/>
  <c r="K239" i="1"/>
  <c r="I239" i="1"/>
  <c r="H239" i="1"/>
  <c r="G239" i="1"/>
  <c r="F239" i="1"/>
  <c r="K238" i="1"/>
  <c r="I238" i="1"/>
  <c r="H238" i="1"/>
  <c r="G238" i="1"/>
  <c r="F238" i="1"/>
  <c r="J237" i="1"/>
  <c r="I237" i="1"/>
  <c r="H237" i="1"/>
  <c r="G237" i="1"/>
  <c r="F237" i="1"/>
  <c r="K203" i="1"/>
  <c r="J203" i="1"/>
  <c r="I203" i="1"/>
  <c r="H203" i="1"/>
  <c r="G203" i="1"/>
  <c r="F203" i="1"/>
  <c r="K202" i="1"/>
  <c r="I202" i="1"/>
  <c r="H202" i="1"/>
  <c r="G202" i="1"/>
  <c r="F202" i="1"/>
  <c r="J201" i="1"/>
  <c r="I201" i="1"/>
  <c r="H201" i="1"/>
  <c r="G201" i="1"/>
  <c r="F201" i="1"/>
  <c r="F122" i="1"/>
  <c r="F56" i="1"/>
  <c r="F95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168" i="1" l="1"/>
  <c r="I139" i="1"/>
  <c r="I192" i="1" s="1"/>
  <c r="G629" i="1" s="1"/>
  <c r="J629" i="1" s="1"/>
  <c r="G139" i="1"/>
  <c r="F139" i="1"/>
  <c r="I662" i="1"/>
  <c r="F31" i="13"/>
  <c r="G570" i="1"/>
  <c r="I433" i="1"/>
  <c r="G433" i="1"/>
  <c r="K433" i="1"/>
  <c r="G133" i="2" s="1"/>
  <c r="G143" i="2" s="1"/>
  <c r="G144" i="2" s="1"/>
  <c r="F544" i="1"/>
  <c r="J641" i="1"/>
  <c r="I191" i="1"/>
  <c r="J648" i="1"/>
  <c r="A22" i="12"/>
  <c r="C80" i="2"/>
  <c r="C103" i="2" s="1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192" i="1" s="1"/>
  <c r="G628" i="1" s="1"/>
  <c r="J628" i="1" s="1"/>
  <c r="H647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J139" i="1"/>
  <c r="D103" i="2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D15" i="10"/>
  <c r="D27" i="10"/>
  <c r="L569" i="1"/>
  <c r="I570" i="1"/>
  <c r="I544" i="1"/>
  <c r="J635" i="1"/>
  <c r="G36" i="2"/>
  <c r="G49" i="2" s="1"/>
  <c r="G50" i="2" s="1"/>
  <c r="J50" i="1"/>
  <c r="C39" i="10"/>
  <c r="L564" i="1"/>
  <c r="L570" i="1" s="1"/>
  <c r="G544" i="1"/>
  <c r="L544" i="1"/>
  <c r="H544" i="1"/>
  <c r="K550" i="1"/>
  <c r="K551" i="1" s="1"/>
  <c r="F143" i="2"/>
  <c r="F144" i="2" s="1"/>
  <c r="F192" i="1" l="1"/>
  <c r="G626" i="1" s="1"/>
  <c r="J626" i="1" s="1"/>
  <c r="C36" i="10"/>
  <c r="C38" i="10"/>
  <c r="C41" i="10" s="1"/>
  <c r="D39" i="10" s="1"/>
  <c r="D26" i="10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<sst xmlns="http://schemas.openxmlformats.org/spreadsheetml/2006/main" count="3949" uniqueCount="916">
  <si>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</si>
  <si>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</si>
  <si>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</si>
  <si>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</si>
  <si>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</si>
  <si>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</si>
  <si>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</si>
  <si>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</si>
  <si>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</si>
  <si>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</si>
  <si>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</si>
  <si>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</si>
  <si>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</si>
  <si>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</si>
  <si>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</si>
  <si>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</si>
  <si>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</si>
  <si>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</si>
  <si>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</si>
  <si>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</si>
  <si>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</si>
  <si>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</si>
  <si>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</si>
  <si>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</si>
  <si>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</si>
  <si>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</si>
  <si>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</si>
  <si>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</si>
  <si>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</si>
  <si>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</si>
  <si>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</si>
  <si>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</si>
  <si>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</si>
  <si>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</si>
  <si>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</si>
  <si>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</si>
  <si>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</si>
  <si>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</si>
  <si>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</si>
  <si>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</si>
  <si>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</si>
  <si>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</si>
  <si>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</si>
  <si>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</si>
  <si>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</si>
  <si>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</si>
  <si>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</si>
  <si>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</si>
  <si>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</si>
  <si>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</si>
  <si>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</si>
  <si>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</si>
  <si>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</si>
  <si>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</si>
  <si>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</si>
  <si>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</si>
  <si>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</si>
  <si>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</si>
  <si>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</si>
  <si>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</si>
  <si>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</si>
  <si>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</si>
  <si>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</si>
  <si>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</si>
  <si>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</si>
  <si>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</si>
  <si>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</si>
  <si>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</si>
  <si>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</si>
  <si>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</si>
  <si>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</si>
  <si>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</si>
  <si>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</si>
  <si>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</si>
  <si>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</si>
  <si>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</si>
  <si>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</si>
  <si>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</si>
  <si>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</si>
  <si>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</si>
  <si>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</si>
  <si>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</si>
  <si>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</si>
  <si>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</si>
  <si>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</si>
  <si>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</si>
  <si>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</si>
  <si>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</si>
  <si>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</si>
  <si>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</si>
  <si>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</si>
  <si>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</si>
  <si>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</si>
  <si>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</si>
  <si>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</si>
  <si>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</si>
  <si>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</si>
  <si>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</si>
  <si>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</si>
  <si>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</si>
  <si>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</si>
  <si>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</si>
  <si>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</si>
  <si>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</si>
  <si>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</si>
  <si>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</si>
  <si>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</si>
  <si>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</si>
  <si>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</si>
  <si>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</si>
  <si>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</si>
  <si>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</si>
  <si>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</si>
  <si>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</si>
  <si>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</si>
  <si>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</si>
  <si>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</si>
  <si>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</si>
  <si>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</si>
  <si>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</si>
  <si>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</si>
  <si>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</si>
  <si>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</si>
  <si>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</si>
  <si>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</si>
  <si>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</si>
  <si>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</si>
  <si>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</si>
  <si>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</si>
  <si>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</si>
  <si>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</si>
  <si>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</si>
  <si>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</si>
  <si>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</si>
  <si>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</si>
  <si>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</si>
  <si>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</si>
  <si>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</si>
  <si>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</si>
  <si>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</si>
  <si>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</si>
  <si>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</si>
  <si>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</si>
  <si>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</si>
  <si>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</si>
  <si>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</si>
  <si>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</si>
  <si>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</si>
  <si>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</si>
  <si>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</si>
  <si>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</si>
  <si>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</si>
  <si>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</si>
  <si>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</si>
  <si>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</si>
  <si>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</si>
  <si>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</si>
  <si>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</si>
  <si>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</si>
  <si>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</si>
  <si>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</si>
  <si>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</si>
  <si>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</si>
  <si>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</si>
  <si>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</si>
  <si>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</si>
  <si>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</si>
  <si>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</si>
  <si>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</si>
  <si>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</si>
  <si>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</si>
  <si>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</si>
  <si>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</si>
  <si>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</si>
  <si>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</si>
  <si>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</si>
  <si>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</si>
  <si>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</si>
  <si>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</si>
  <si>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</si>
  <si>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</si>
  <si>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</si>
  <si>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</si>
  <si>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</si>
  <si>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</si>
  <si>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</si>
  <si>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</si>
  <si>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</si>
  <si>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</si>
  <si>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</si>
  <si>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</si>
  <si>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</si>
  <si>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</si>
  <si>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</si>
  <si>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</si>
  <si>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</si>
  <si>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</si>
  <si>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</si>
  <si>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</si>
  <si>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</si>
  <si>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</si>
  <si>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</si>
  <si>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</si>
  <si>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</si>
  <si>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</si>
  <si>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</si>
  <si>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</si>
  <si>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</si>
  <si>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</si>
  <si>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</si>
  <si>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</si>
  <si>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</si>
  <si>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</si>
  <si>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</si>
  <si>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</si>
  <si>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</si>
  <si>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</si>
  <si>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</si>
  <si>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</si>
  <si>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</si>
  <si>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</si>
  <si>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</si>
  <si>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</si>
  <si>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</si>
  <si>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</si>
  <si>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</si>
  <si>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</si>
  <si>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</si>
  <si>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</si>
  <si>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</si>
  <si>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</si>
  <si>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</si>
  <si>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</si>
  <si>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</si>
  <si>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</si>
  <si>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</si>
  <si>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</si>
  <si>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</si>
  <si>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</si>
  <si>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</si>
  <si>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</si>
  <si>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</si>
  <si>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</si>
  <si>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</si>
  <si>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</si>
  <si>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</si>
  <si>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</si>
  <si>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</si>
  <si>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</si>
  <si>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</si>
  <si>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</si>
  <si>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</si>
  <si>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</si>
  <si>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</si>
  <si>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</si>
  <si>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</si>
  <si>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</si>
  <si>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</si>
  <si>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</si>
  <si>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</si>
  <si>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</si>
  <si>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</si>
  <si>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</si>
  <si>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</si>
  <si>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</si>
  <si>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</si>
  <si>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</si>
  <si>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</si>
  <si>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</si>
  <si>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</si>
  <si>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</si>
  <si>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</si>
  <si>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</si>
  <si>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</si>
  <si>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</si>
  <si>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</si>
  <si>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</si>
  <si>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</si>
  <si>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</si>
  <si>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</si>
  <si>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</si>
  <si>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</si>
  <si>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</si>
  <si>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</si>
  <si>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</si>
  <si>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</si>
  <si>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</si>
  <si>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</si>
  <si>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</si>
  <si>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</si>
  <si>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</si>
  <si>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</si>
  <si>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</si>
  <si>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</si>
  <si>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</si>
  <si>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</si>
  <si>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</si>
  <si>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</si>
  <si>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</si>
  <si>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</si>
  <si>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</si>
  <si>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</si>
  <si>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</si>
  <si>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</si>
  <si>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</si>
  <si>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</si>
  <si>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</si>
  <si>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</si>
  <si>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</si>
  <si>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</si>
  <si>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</si>
  <si>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</si>
  <si>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</si>
  <si>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</si>
  <si>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</si>
  <si>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</si>
  <si>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</si>
  <si>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</si>
  <si>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</si>
  <si>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</si>
  <si>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</si>
  <si>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</si>
  <si>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</si>
  <si>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</si>
  <si>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</si>
  <si>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</si>
  <si>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</si>
  <si>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</si>
  <si>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</si>
  <si>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</si>
  <si>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</si>
  <si>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</si>
  <si>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</si>
  <si>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</si>
  <si>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</si>
  <si>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</si>
  <si>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</si>
  <si>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</si>
  <si>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</si>
  <si>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</si>
  <si>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</si>
  <si>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</si>
  <si>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</si>
  <si>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</si>
  <si>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</si>
  <si>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</si>
  <si>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</si>
  <si>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</si>
  <si>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</si>
  <si>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</si>
  <si>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</si>
  <si>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</si>
  <si>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</si>
  <si>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</si>
  <si>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</si>
  <si>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</si>
  <si>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</si>
  <si>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</si>
  <si>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</si>
  <si>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</si>
  <si>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</si>
  <si>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</si>
  <si>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</si>
  <si>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</si>
  <si>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</si>
  <si>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</si>
  <si>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</si>
  <si>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</si>
  <si>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</si>
  <si>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</si>
  <si>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</si>
  <si>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</si>
  <si>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</si>
  <si>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</si>
  <si>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</si>
  <si>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</si>
  <si>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</si>
  <si>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</si>
  <si>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</si>
  <si>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</si>
  <si>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</si>
  <si>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</si>
  <si>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</si>
  <si>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</si>
  <si>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</si>
  <si>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</si>
  <si>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</si>
  <si>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</si>
  <si>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</si>
  <si>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</si>
  <si>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</si>
  <si>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</si>
  <si>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</si>
  <si>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</si>
  <si>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</si>
  <si>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</si>
  <si>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</si>
  <si>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</si>
  <si>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</si>
  <si>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</si>
  <si>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</si>
  <si>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</si>
  <si>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</si>
  <si>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</si>
  <si>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</si>
  <si>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</si>
  <si>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</si>
  <si>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</si>
  <si>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</si>
  <si>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</si>
  <si>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</si>
  <si>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</si>
  <si>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</si>
  <si>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</si>
  <si>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</si>
  <si>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</si>
  <si>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</si>
  <si>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</si>
  <si>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</si>
  <si>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</si>
  <si>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</si>
  <si>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</si>
  <si>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</si>
  <si>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</si>
  <si>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</si>
  <si>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</si>
  <si>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</si>
  <si>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</si>
  <si>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</si>
  <si>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</si>
  <si>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</si>
  <si>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</si>
  <si>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</si>
  <si>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</si>
  <si>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</si>
  <si>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</si>
  <si>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</si>
  <si>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</si>
  <si>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</si>
  <si>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</si>
  <si>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</si>
  <si>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</si>
  <si>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</si>
  <si>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</si>
  <si>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</si>
  <si>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</si>
  <si>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</si>
  <si>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</si>
  <si>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</si>
  <si>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</si>
  <si>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</si>
  <si>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</si>
  <si>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</si>
  <si>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</si>
  <si>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</si>
  <si>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</si>
  <si>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</si>
  <si>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</si>
  <si>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</si>
  <si>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</si>
  <si>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</si>
  <si>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</si>
  <si>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</si>
  <si>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</si>
  <si>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</si>
  <si>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</si>
  <si>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</si>
  <si>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</si>
  <si>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</si>
  <si>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</si>
  <si>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</si>
  <si>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</si>
  <si>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</si>
  <si>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</si>
  <si>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</si>
  <si>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</si>
  <si>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</si>
  <si>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</si>
  <si>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</si>
  <si>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</si>
  <si>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</si>
  <si>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</si>
  <si>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</si>
  <si>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</si>
  <si>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</si>
  <si>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</si>
  <si>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</si>
  <si>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</si>
  <si>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</si>
  <si>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</si>
  <si>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</si>
  <si>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</si>
  <si>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</si>
  <si>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</si>
  <si>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</si>
  <si>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</si>
  <si>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</si>
  <si>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</si>
  <si>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</si>
  <si>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</si>
  <si>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</si>
  <si>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</si>
  <si>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</si>
  <si>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</si>
  <si>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</si>
  <si>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</si>
  <si>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</si>
  <si>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</si>
  <si>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</si>
  <si>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</si>
  <si>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</si>
  <si>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</si>
  <si>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</si>
  <si>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</si>
  <si>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</si>
  <si>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</si>
  <si>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</si>
  <si>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</si>
  <si>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</si>
  <si>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</si>
  <si>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</si>
  <si>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</si>
  <si>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</si>
  <si>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</si>
  <si>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</si>
  <si>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</si>
  <si>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</si>
  <si>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</si>
  <si>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</si>
  <si>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</si>
  <si>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</si>
  <si>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</si>
  <si>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</si>
  <si>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</si>
  <si>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</si>
  <si>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</si>
  <si>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</si>
  <si>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</si>
  <si>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</si>
  <si>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</si>
  <si>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</si>
  <si>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</si>
  <si>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</si>
  <si>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</si>
  <si>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</si>
  <si>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</si>
  <si>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</si>
  <si>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</si>
  <si>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</si>
  <si>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</si>
  <si>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</si>
  <si>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</si>
  <si>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</si>
  <si>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</si>
  <si>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</si>
  <si>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</si>
  <si>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</si>
  <si>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</si>
  <si>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</si>
  <si>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</si>
  <si>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</si>
  <si>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</si>
  <si>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</si>
  <si>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</si>
  <si>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</si>
  <si>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</si>
  <si>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</si>
  <si>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</si>
  <si>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</si>
  <si>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</si>
  <si>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</si>
  <si>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</si>
  <si>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</si>
  <si>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</si>
  <si>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</si>
  <si>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</si>
  <si>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</si>
  <si>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</si>
  <si>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</si>
  <si>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</si>
  <si>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</si>
  <si>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</si>
  <si>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</si>
  <si>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</si>
  <si>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</si>
  <si>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</si>
  <si>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</si>
  <si>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</si>
  <si>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</si>
  <si>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</si>
  <si>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</si>
  <si>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</si>
  <si>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</si>
  <si>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</si>
  <si>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</si>
  <si>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</si>
  <si>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</si>
  <si>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</si>
  <si>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</si>
  <si>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</si>
  <si>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</si>
  <si>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</si>
  <si>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</si>
  <si>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</si>
  <si>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</si>
  <si>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</si>
  <si>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</si>
  <si>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</si>
  <si>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</si>
  <si>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</si>
  <si>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</si>
  <si>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</si>
  <si>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</si>
  <si>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</si>
  <si>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</si>
  <si>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</si>
  <si>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</si>
  <si>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</si>
  <si>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</si>
  <si>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</si>
  <si>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</si>
  <si>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</si>
  <si>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</si>
  <si>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</si>
  <si>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</si>
  <si>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</si>
  <si>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</si>
  <si>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</si>
  <si>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</si>
  <si>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</si>
  <si>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</si>
  <si>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</si>
  <si>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</si>
  <si>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</si>
  <si>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</si>
  <si>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</si>
  <si>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</si>
  <si>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</si>
  <si>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</si>
  <si>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</si>
  <si>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</si>
  <si>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</si>
  <si>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</si>
  <si>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</si>
  <si>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</si>
  <si>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</si>
  <si>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</si>
  <si>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</si>
  <si>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</si>
  <si>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</si>
  <si>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</si>
  <si>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</si>
  <si>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</si>
  <si>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</si>
  <si>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</si>
  <si>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</si>
  <si>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</si>
  <si>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</si>
  <si>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</si>
  <si>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</si>
  <si>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</si>
  <si>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</si>
  <si>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</si>
  <si>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</si>
  <si>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</si>
  <si>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</si>
  <si>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</si>
  <si>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</si>
  <si>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</si>
  <si>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</si>
  <si>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</si>
  <si>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</si>
  <si>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</si>
  <si>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</si>
  <si>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</si>
  <si>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</si>
  <si>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</si>
  <si>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</si>
  <si>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</si>
  <si>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</si>
  <si>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</si>
  <si>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</si>
  <si>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</si>
  <si>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</si>
  <si>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</si>
  <si>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</si>
  <si>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</si>
  <si>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</si>
  <si>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</si>
  <si>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</si>
  <si>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</si>
  <si>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</si>
  <si>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</si>
  <si>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</si>
  <si>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</si>
  <si>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</si>
  <si>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</si>
  <si>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</si>
  <si>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</si>
  <si>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</si>
  <si>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</si>
  <si>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</si>
  <si>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</si>
  <si>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</si>
  <si>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</si>
  <si>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</si>
  <si>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</si>
  <si>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</si>
  <si>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</si>
  <si>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</si>
  <si>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</si>
  <si>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</si>
  <si>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</si>
  <si>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</si>
  <si>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</si>
  <si>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</si>
  <si>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</si>
  <si>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</si>
  <si>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</si>
  <si>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</si>
  <si>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</si>
  <si>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</si>
  <si>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</si>
  <si>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</si>
  <si>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</si>
  <si>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</si>
  <si>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</si>
  <si>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</si>
  <si>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</si>
  <si>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</si>
  <si>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</si>
  <si>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</si>
  <si>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</si>
  <si>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</si>
  <si>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</si>
  <si>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</si>
  <si>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</si>
  <si>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</si>
  <si>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</si>
  <si>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</si>
  <si>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</si>
  <si>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</si>
  <si>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</si>
  <si>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</si>
  <si>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</si>
  <si>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</si>
  <si>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</si>
  <si>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</si>
  <si>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</si>
  <si>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</si>
  <si>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</si>
  <si>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</si>
  <si>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</si>
  <si>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</si>
  <si>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</si>
  <si>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</si>
  <si>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</si>
  <si>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</si>
  <si>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</si>
  <si>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</si>
  <si>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</si>
  <si>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</si>
  <si>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</si>
  <si>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</si>
  <si>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</si>
  <si>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</si>
  <si>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</si>
  <si>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</si>
  <si>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</si>
  <si>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</si>
  <si>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</si>
  <si>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</si>
  <si>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</si>
  <si>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</si>
  <si>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</si>
  <si>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</si>
  <si>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</si>
  <si>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</si>
  <si>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</si>
  <si>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</si>
  <si>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</si>
  <si>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</si>
  <si>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</si>
  <si>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</si>
  <si>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</si>
  <si>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</si>
  <si>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</si>
  <si>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</si>
  <si>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</si>
  <si>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</si>
  <si>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</si>
  <si>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</si>
  <si>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</si>
  <si>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</si>
  <si>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</si>
  <si>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</si>
  <si>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</si>
  <si>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</si>
  <si>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</si>
  <si>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</si>
  <si>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</si>
  <si>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</si>
  <si>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</si>
  <si>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</si>
  <si>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</si>
  <si>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</si>
  <si>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</si>
  <si>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</si>
  <si>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</si>
  <si>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</si>
  <si>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</si>
  <si>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</si>
  <si>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</si>
  <si>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</si>
  <si>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</si>
  <si>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</si>
  <si>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</si>
  <si>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</si>
  <si>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</si>
  <si>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</si>
  <si>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</si>
  <si>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</si>
  <si>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</si>
  <si>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</si>
  <si>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</si>
  <si>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</si>
  <si>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</si>
  <si>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</si>
  <si>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</si>
  <si>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</si>
  <si>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</si>
  <si>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</si>
  <si>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</si>
  <si>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</si>
  <si>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</si>
  <si>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</si>
  <si>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</si>
  <si>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</si>
  <si>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</si>
  <si>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</si>
  <si>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</si>
  <si>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</si>
  <si>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</si>
  <si>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</si>
  <si>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</si>
  <si>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</si>
  <si>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</si>
  <si>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</si>
  <si>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</si>
  <si>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</si>
  <si>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</si>
  <si>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</si>
  <si>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</si>
  <si>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</si>
  <si>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</si>
  <si>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</si>
  <si>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</si>
  <si>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</si>
  <si>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</si>
  <si>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</si>
  <si>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</si>
  <si>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</si>
  <si>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</si>
  <si>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</si>
  <si>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</si>
  <si>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</si>
  <si>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</si>
  <si>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</si>
  <si>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</si>
  <si>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</si>
  <si>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</si>
  <si>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</si>
  <si>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</si>
  <si>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</si>
  <si>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</si>
  <si>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</si>
  <si>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</si>
  <si>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</si>
  <si>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</si>
  <si>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</si>
  <si>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</si>
  <si>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</si>
  <si>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</si>
  <si>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</si>
  <si>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</si>
  <si>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</si>
  <si>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</si>
  <si>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</si>
  <si>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</si>
  <si>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</si>
  <si>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</si>
  <si>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</si>
  <si>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</si>
  <si>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</si>
  <si>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</si>
  <si>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</si>
  <si>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</si>
  <si>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</si>
  <si>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</si>
  <si>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</si>
  <si>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</si>
  <si>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</si>
  <si>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</si>
  <si>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</si>
  <si>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</si>
  <si>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</si>
  <si>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</si>
  <si>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</si>
  <si>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</si>
  <si>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08/05</t>
  </si>
  <si>
    <t>08/24</t>
  </si>
  <si>
    <t>09/10</t>
  </si>
  <si>
    <t>09/15</t>
  </si>
  <si>
    <t>Auditor Adjustments from prior year (1, 4)</t>
  </si>
  <si>
    <t>Principal Account Adjustments (5)</t>
  </si>
  <si>
    <t>Fall Mountain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</si>
</sst>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915</v>
      </c>
      <c r="B2" s="21">
        <v>174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-334646.55+1850</f>
        <v>-332796.55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2163773.79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634815.43000000005</v>
      </c>
      <c r="G12" s="18">
        <v>-12631.76</v>
      </c>
      <c r="H12" s="18">
        <f>-206558-238663.55-161192.89-55915.18</f>
        <v>-662329.62</v>
      </c>
      <c r="I12" s="18">
        <v>40145.949999999997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439814.01</v>
      </c>
      <c r="G13" s="18">
        <v>14371.25</v>
      </c>
      <c r="H13" s="18">
        <f>247728.5+238663.55+161369.52+55915.18</f>
        <v>703676.75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6812.22</v>
      </c>
      <c r="G14" s="18">
        <v>51.1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539850.62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1288495.73</v>
      </c>
      <c r="G19" s="41">
        <f>SUM(G9:G18)</f>
        <v>1790.5899999999997</v>
      </c>
      <c r="H19" s="41">
        <f>SUM(H9:H18)</f>
        <v>41347.130000000005</v>
      </c>
      <c r="I19" s="41">
        <f>SUM(I9:I18)</f>
        <v>40145.949999999997</v>
      </c>
      <c r="J19" s="41">
        <f>SUM(J9:J18)</f>
        <v>2163773.79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413588.08</v>
      </c>
      <c r="G24" s="18">
        <v>6.96</v>
      </c>
      <c r="H24" s="18">
        <v>756.6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1783.63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393399.74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806987.82000000007</v>
      </c>
      <c r="G32" s="41">
        <f>SUM(G22:G31)</f>
        <v>1790.5900000000001</v>
      </c>
      <c r="H32" s="41">
        <f>SUM(H22:H31)</f>
        <v>756.6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483047.53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38755.599999999999</v>
      </c>
      <c r="I47" s="18">
        <v>40145.949999999997</v>
      </c>
      <c r="J47" s="13">
        <f>SUM(I458)</f>
        <v>2163773.79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>
        <f>1835.3-0.37</f>
        <v>1834.93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-1539.62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481507.91000000003</v>
      </c>
      <c r="G50" s="41">
        <f>SUM(G35:G49)</f>
        <v>0</v>
      </c>
      <c r="H50" s="41">
        <f>SUM(H35:H49)</f>
        <v>40590.53</v>
      </c>
      <c r="I50" s="41">
        <f>SUM(I35:I49)</f>
        <v>40145.949999999997</v>
      </c>
      <c r="J50" s="41">
        <f>SUM(J35:J49)</f>
        <v>2163773.79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1288495.73</v>
      </c>
      <c r="G51" s="41">
        <f>G50+G32</f>
        <v>1790.5900000000001</v>
      </c>
      <c r="H51" s="41">
        <f>H50+H32</f>
        <v>41347.129999999997</v>
      </c>
      <c r="I51" s="41">
        <f>I50+I32</f>
        <v>40145.949999999997</v>
      </c>
      <c r="J51" s="41">
        <f>J50+J32</f>
        <v>2163773.79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14349469.08-2435161</f>
        <v>11914308.08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11914308.08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184904.68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1900.44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186805.12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22162.7</f>
        <v>22162.7</v>
      </c>
      <c r="G95" s="18"/>
      <c r="H95" s="18">
        <f>11479.52-1384.1</f>
        <v>10095.42</v>
      </c>
      <c r="I95" s="18"/>
      <c r="J95" s="18">
        <v>20676.990000000002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360486.01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6500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107.26</v>
      </c>
      <c r="G109" s="18"/>
      <c r="H109" s="18">
        <f>19470.17-490.69</f>
        <v>18979.48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22269.96</v>
      </c>
      <c r="G110" s="41">
        <f>SUM(G95:G109)</f>
        <v>360486.01</v>
      </c>
      <c r="H110" s="41">
        <f>SUM(H95:H109)</f>
        <v>35574.899999999994</v>
      </c>
      <c r="I110" s="41">
        <f>SUM(I95:I109)</f>
        <v>0</v>
      </c>
      <c r="J110" s="41">
        <f>SUM(J95:J109)</f>
        <v>20676.990000000002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12123383.16</v>
      </c>
      <c r="G111" s="41">
        <f>G59+G110</f>
        <v>360486.01</v>
      </c>
      <c r="H111" s="41">
        <f>H59+H78+H93+H110</f>
        <v>35574.899999999994</v>
      </c>
      <c r="I111" s="41">
        <f>I59+I110</f>
        <v>0</v>
      </c>
      <c r="J111" s="41">
        <f>J59+J110</f>
        <v>20676.990000000002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8741181.3499999996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2435161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7573.65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11183916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f>499670.6+60717.26</f>
        <v>560387.86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349559.53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196191.84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15921.31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7728.77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20865.91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1142926.45</v>
      </c>
      <c r="G135" s="41">
        <f>SUM(G122:G134)</f>
        <v>7728.77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12326842.449999999</v>
      </c>
      <c r="G139" s="41">
        <f>G120+SUM(G135:G136)</f>
        <v>7728.77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827049.55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215182.48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49983.41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316752.21999999997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526567.63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215701.58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215701.58</v>
      </c>
      <c r="G161" s="41">
        <f>SUM(G149:G160)</f>
        <v>316752.21999999997</v>
      </c>
      <c r="H161" s="41">
        <f>SUM(H149:H160)</f>
        <v>1618783.0699999998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215701.58</v>
      </c>
      <c r="G168" s="41">
        <f>G146+G161+SUM(G162:G167)</f>
        <v>316752.21999999997</v>
      </c>
      <c r="H168" s="41">
        <f>H146+H161+SUM(H162:H167)</f>
        <v>1618783.0699999998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1042452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1042452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105345.03</v>
      </c>
      <c r="H178" s="18"/>
      <c r="I178" s="18"/>
      <c r="J178" s="18">
        <v>420286.93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105345.03</v>
      </c>
      <c r="H182" s="41">
        <f>SUM(H178:H181)</f>
        <v>0</v>
      </c>
      <c r="I182" s="41">
        <f>SUM(I178:I181)</f>
        <v>0</v>
      </c>
      <c r="J182" s="41">
        <f>SUM(J178:J181)</f>
        <v>420286.93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300000</v>
      </c>
      <c r="G184" s="18"/>
      <c r="H184" s="18"/>
      <c r="I184" s="18">
        <v>100000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300000</v>
      </c>
      <c r="G187" s="41">
        <f>SUM(G184:G186)</f>
        <v>0</v>
      </c>
      <c r="H187" s="41">
        <f>SUM(H184:H186)</f>
        <v>0</v>
      </c>
      <c r="I187" s="41">
        <f>SUM(I184:I186)</f>
        <v>100000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300000</v>
      </c>
      <c r="G191" s="41">
        <f>G182+SUM(G187:G190)</f>
        <v>105345.03</v>
      </c>
      <c r="H191" s="41">
        <f>+H182+SUM(H187:H190)</f>
        <v>0</v>
      </c>
      <c r="I191" s="41">
        <f>I176+I182+SUM(I187:I190)</f>
        <v>1142452</v>
      </c>
      <c r="J191" s="41">
        <f>J182</f>
        <v>420286.93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24965927.189999998</v>
      </c>
      <c r="G192" s="47">
        <f>G111+G139+G168+G191</f>
        <v>790312.03</v>
      </c>
      <c r="H192" s="47">
        <f>H111+H139+H168+H191</f>
        <v>1654357.9699999997</v>
      </c>
      <c r="I192" s="47">
        <f>I111+I139+I168+I191</f>
        <v>1142452</v>
      </c>
      <c r="J192" s="47">
        <f>J111+J139+J191</f>
        <v>440963.92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4178189.19</v>
      </c>
      <c r="G196" s="18">
        <v>1590422.04</v>
      </c>
      <c r="H196" s="18">
        <v>39859.360000000001</v>
      </c>
      <c r="I196" s="18">
        <v>261860.18</v>
      </c>
      <c r="J196" s="18">
        <v>142698.89000000001</v>
      </c>
      <c r="K196" s="18">
        <v>3138.17</v>
      </c>
      <c r="L196" s="19">
        <f>SUM(F196:K196)</f>
        <v>6216167.8300000001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2117524.9</v>
      </c>
      <c r="G197" s="18">
        <v>589367.04000000004</v>
      </c>
      <c r="H197" s="18">
        <f>375370.93+60963.7</f>
        <v>436334.63</v>
      </c>
      <c r="I197" s="18">
        <v>16255.74</v>
      </c>
      <c r="J197" s="18">
        <v>7587.82</v>
      </c>
      <c r="K197" s="18">
        <v>676.46</v>
      </c>
      <c r="L197" s="19">
        <f>SUM(F197:K197)</f>
        <v>3167746.59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53737.5</v>
      </c>
      <c r="G199" s="18">
        <v>7095.27</v>
      </c>
      <c r="H199" s="18">
        <v>11274</v>
      </c>
      <c r="I199" s="18">
        <v>7365.48</v>
      </c>
      <c r="J199" s="18">
        <v>8997.9599999999991</v>
      </c>
      <c r="K199" s="18">
        <v>80</v>
      </c>
      <c r="L199" s="19">
        <f>SUM(F199:K199)</f>
        <v>88550.209999999992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263994.74+206039.14</f>
        <v>470033.88</v>
      </c>
      <c r="G201" s="18">
        <f>108234.09+62376.94</f>
        <v>170611.03</v>
      </c>
      <c r="H201" s="18">
        <f>2003.86+6161.09</f>
        <v>8164.95</v>
      </c>
      <c r="I201" s="18">
        <f>1592.37+2650.85</f>
        <v>4243.2199999999993</v>
      </c>
      <c r="J201" s="18">
        <f>2615.61+326.85</f>
        <v>2942.46</v>
      </c>
      <c r="K201" s="18"/>
      <c r="L201" s="19">
        <f t="shared" ref="L201:L207" si="0">SUM(F201:K201)</f>
        <v>655995.53999999992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52829.23+288060.02</f>
        <v>340889.25</v>
      </c>
      <c r="G202" s="18">
        <f>56332.95+96572.33</f>
        <v>152905.28</v>
      </c>
      <c r="H202" s="18">
        <f>31881.4+13844.81</f>
        <v>45726.21</v>
      </c>
      <c r="I202" s="18">
        <f>1227.34+32899.54</f>
        <v>34126.879999999997</v>
      </c>
      <c r="J202" s="18">
        <v>880.65</v>
      </c>
      <c r="K202" s="18">
        <f>1747.41+2307.5</f>
        <v>4054.91</v>
      </c>
      <c r="L202" s="19">
        <f t="shared" si="0"/>
        <v>578583.18000000005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13952.96+185049.9</f>
        <v>199002.86</v>
      </c>
      <c r="G203" s="18">
        <f>26115.06+55358.36</f>
        <v>81473.42</v>
      </c>
      <c r="H203" s="18">
        <f>12162.68+51033.97</f>
        <v>63196.65</v>
      </c>
      <c r="I203" s="18">
        <f>821.54+2725.94</f>
        <v>3547.48</v>
      </c>
      <c r="J203" s="18">
        <f>87.42</f>
        <v>87.42</v>
      </c>
      <c r="K203" s="18">
        <f>3563.81+458.25</f>
        <v>4022.06</v>
      </c>
      <c r="L203" s="19">
        <f>SUM(F203:K203)</f>
        <v>351329.88999999996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632451.27</v>
      </c>
      <c r="G204" s="18">
        <v>237612.52</v>
      </c>
      <c r="H204" s="18">
        <v>13425.24</v>
      </c>
      <c r="I204" s="18">
        <f>11219.76+4150</f>
        <v>15369.76</v>
      </c>
      <c r="J204" s="18">
        <v>15945.22</v>
      </c>
      <c r="K204" s="18">
        <v>808</v>
      </c>
      <c r="L204" s="19">
        <f t="shared" si="0"/>
        <v>915612.01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118867.36</v>
      </c>
      <c r="G205" s="18">
        <v>48322.68</v>
      </c>
      <c r="H205" s="18">
        <v>12304.6</v>
      </c>
      <c r="I205" s="18">
        <v>2350.11</v>
      </c>
      <c r="J205" s="18">
        <v>571.30999999999995</v>
      </c>
      <c r="K205" s="18">
        <v>817.64</v>
      </c>
      <c r="L205" s="19">
        <f t="shared" si="0"/>
        <v>183233.7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636685.59</v>
      </c>
      <c r="G206" s="18">
        <v>308521.09000000003</v>
      </c>
      <c r="H206" s="18">
        <f>255314.83+2621.94</f>
        <v>257936.77</v>
      </c>
      <c r="I206" s="18">
        <v>471590.21</v>
      </c>
      <c r="J206" s="18">
        <v>21827.62</v>
      </c>
      <c r="K206" s="18">
        <v>301.83999999999997</v>
      </c>
      <c r="L206" s="19">
        <f t="shared" si="0"/>
        <v>1696863.12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341016.55</v>
      </c>
      <c r="G207" s="18">
        <v>75622.759999999995</v>
      </c>
      <c r="H207" s="18">
        <v>98191.35</v>
      </c>
      <c r="I207" s="18">
        <f>117773.72+4304.02</f>
        <v>122077.74</v>
      </c>
      <c r="J207" s="18">
        <v>23177.71</v>
      </c>
      <c r="K207" s="18"/>
      <c r="L207" s="19">
        <f t="shared" si="0"/>
        <v>660086.11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9088398.3500000015</v>
      </c>
      <c r="G210" s="41">
        <f t="shared" si="1"/>
        <v>3261953.1299999994</v>
      </c>
      <c r="H210" s="41">
        <f t="shared" si="1"/>
        <v>986413.76</v>
      </c>
      <c r="I210" s="41">
        <f t="shared" si="1"/>
        <v>938786.79999999993</v>
      </c>
      <c r="J210" s="41">
        <f t="shared" si="1"/>
        <v>224717.06</v>
      </c>
      <c r="K210" s="41">
        <f t="shared" si="1"/>
        <v>13899.08</v>
      </c>
      <c r="L210" s="41">
        <f t="shared" si="1"/>
        <v>14514168.18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1737782.18</v>
      </c>
      <c r="G232" s="18">
        <v>843061.03</v>
      </c>
      <c r="H232" s="18">
        <v>25724.44</v>
      </c>
      <c r="I232" s="18">
        <v>51380</v>
      </c>
      <c r="J232" s="18">
        <v>69053.52</v>
      </c>
      <c r="K232" s="18">
        <v>10665.93</v>
      </c>
      <c r="L232" s="19">
        <f>SUM(F232:K232)</f>
        <v>2737667.1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937754.07</v>
      </c>
      <c r="G233" s="18">
        <v>316140.46000000002</v>
      </c>
      <c r="H233" s="18">
        <f>803406.73+32826.61</f>
        <v>836233.34</v>
      </c>
      <c r="I233" s="18">
        <v>11949.92</v>
      </c>
      <c r="J233" s="18">
        <v>3444.9</v>
      </c>
      <c r="K233" s="18">
        <v>4943.88</v>
      </c>
      <c r="L233" s="19">
        <f>SUM(F233:K233)</f>
        <v>2110466.5699999998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381936.81</v>
      </c>
      <c r="G234" s="18">
        <v>136750.46</v>
      </c>
      <c r="H234" s="18">
        <v>359331.28</v>
      </c>
      <c r="I234" s="18">
        <v>59880.89</v>
      </c>
      <c r="J234" s="18">
        <v>10520.83</v>
      </c>
      <c r="K234" s="18">
        <v>345</v>
      </c>
      <c r="L234" s="19">
        <f>SUM(F234:K234)</f>
        <v>948765.27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169732.16</v>
      </c>
      <c r="G235" s="18">
        <v>35065.46</v>
      </c>
      <c r="H235" s="18">
        <v>50145.24</v>
      </c>
      <c r="I235" s="18">
        <v>6223.13</v>
      </c>
      <c r="J235" s="18">
        <v>14763.35</v>
      </c>
      <c r="K235" s="18">
        <v>2700</v>
      </c>
      <c r="L235" s="19">
        <f>SUM(F235:K235)</f>
        <v>278629.33999999997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277015.07+58917</f>
        <v>335932.07</v>
      </c>
      <c r="G237" s="18">
        <f>103740.3+23636.3</f>
        <v>127376.6</v>
      </c>
      <c r="H237" s="18">
        <f>13686.76+4196.23</f>
        <v>17882.989999999998</v>
      </c>
      <c r="I237" s="18">
        <f>990.15+1207.02</f>
        <v>2197.17</v>
      </c>
      <c r="J237" s="18">
        <f>3000+799.8</f>
        <v>3799.8</v>
      </c>
      <c r="K237" s="18">
        <v>120</v>
      </c>
      <c r="L237" s="19">
        <f t="shared" ref="L237:L243" si="4">SUM(F237:K237)</f>
        <v>487308.63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41252.28+165698.6</f>
        <v>206950.88</v>
      </c>
      <c r="G238" s="18">
        <f>30325.41+60151.72</f>
        <v>90477.13</v>
      </c>
      <c r="H238" s="18">
        <f>33136.27+7454.9</f>
        <v>40591.17</v>
      </c>
      <c r="I238" s="18">
        <f>660.88+27479.62</f>
        <v>28140.5</v>
      </c>
      <c r="J238" s="18">
        <v>1472.19</v>
      </c>
      <c r="K238" s="18">
        <f>940.91+1242.5</f>
        <v>2183.41</v>
      </c>
      <c r="L238" s="19">
        <f t="shared" si="4"/>
        <v>369815.27999999997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2801.59+99642.25</f>
        <v>102443.84</v>
      </c>
      <c r="G239" s="18">
        <f>13841.46+29808.35</f>
        <v>43649.81</v>
      </c>
      <c r="H239" s="18">
        <f>6549.13+27006.05</f>
        <v>33555.18</v>
      </c>
      <c r="I239" s="18">
        <f>442.37+1467.82</f>
        <v>1910.19</v>
      </c>
      <c r="J239" s="18">
        <v>47.07</v>
      </c>
      <c r="K239" s="18">
        <f>1918.97+246.75</f>
        <v>2165.7200000000003</v>
      </c>
      <c r="L239" s="19">
        <f t="shared" si="4"/>
        <v>183771.81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255081.08</v>
      </c>
      <c r="G240" s="18">
        <v>97019.09</v>
      </c>
      <c r="H240" s="18">
        <v>17888.240000000002</v>
      </c>
      <c r="I240" s="18">
        <v>6117.75</v>
      </c>
      <c r="J240" s="18">
        <v>2475.5300000000002</v>
      </c>
      <c r="K240" s="18">
        <v>1672</v>
      </c>
      <c r="L240" s="19">
        <f t="shared" si="4"/>
        <v>380253.69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64005.5</v>
      </c>
      <c r="G241" s="18">
        <v>26016.9</v>
      </c>
      <c r="H241" s="18">
        <v>6625.56</v>
      </c>
      <c r="I241" s="18">
        <v>1265.45</v>
      </c>
      <c r="J241" s="18">
        <v>307.63</v>
      </c>
      <c r="K241" s="18">
        <f>440.27+22.84</f>
        <v>463.10999999999996</v>
      </c>
      <c r="L241" s="19">
        <f t="shared" si="4"/>
        <v>98684.15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308792.87</v>
      </c>
      <c r="G242" s="18">
        <v>155213.57</v>
      </c>
      <c r="H242" s="18">
        <f>233147.88+484.36</f>
        <v>233632.24</v>
      </c>
      <c r="I242" s="18">
        <v>202644.95</v>
      </c>
      <c r="J242" s="18">
        <v>7781.35</v>
      </c>
      <c r="K242" s="18">
        <v>162.53</v>
      </c>
      <c r="L242" s="19">
        <f t="shared" si="4"/>
        <v>908227.50999999989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200612.9</v>
      </c>
      <c r="G243" s="18">
        <v>31672.07</v>
      </c>
      <c r="H243" s="18">
        <v>63782.26</v>
      </c>
      <c r="I243" s="18">
        <f>77288.47-4304.02</f>
        <v>72984.45</v>
      </c>
      <c r="J243" s="18">
        <v>12480.3</v>
      </c>
      <c r="K243" s="18">
        <v>0</v>
      </c>
      <c r="L243" s="19">
        <f t="shared" si="4"/>
        <v>381531.98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4701024.3600000003</v>
      </c>
      <c r="G246" s="41">
        <f t="shared" si="5"/>
        <v>1902442.5800000003</v>
      </c>
      <c r="H246" s="41">
        <f t="shared" si="5"/>
        <v>1685391.94</v>
      </c>
      <c r="I246" s="41">
        <f t="shared" si="5"/>
        <v>444694.40000000008</v>
      </c>
      <c r="J246" s="41">
        <f t="shared" si="5"/>
        <v>126146.47000000003</v>
      </c>
      <c r="K246" s="41">
        <f t="shared" si="5"/>
        <v>25421.58</v>
      </c>
      <c r="L246" s="41">
        <f t="shared" si="5"/>
        <v>8885121.3300000001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189895.75</v>
      </c>
      <c r="I254" s="18"/>
      <c r="J254" s="18"/>
      <c r="K254" s="18"/>
      <c r="L254" s="19">
        <f t="shared" si="6"/>
        <v>189895.75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189895.75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189895.75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13789422.710000001</v>
      </c>
      <c r="G256" s="41">
        <f t="shared" si="8"/>
        <v>5164395.71</v>
      </c>
      <c r="H256" s="41">
        <f t="shared" si="8"/>
        <v>2861701.45</v>
      </c>
      <c r="I256" s="41">
        <f t="shared" si="8"/>
        <v>1383481.2</v>
      </c>
      <c r="J256" s="41">
        <f t="shared" si="8"/>
        <v>350863.53</v>
      </c>
      <c r="K256" s="41">
        <f t="shared" si="8"/>
        <v>39320.660000000003</v>
      </c>
      <c r="L256" s="41">
        <f t="shared" si="8"/>
        <v>23589185.259999998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708490.4</v>
      </c>
      <c r="L259" s="19">
        <f>SUM(F259:K259)</f>
        <v>708490.4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79858.97</v>
      </c>
      <c r="L260" s="19">
        <f>SUM(F260:K260)</f>
        <v>79858.97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105345.03</v>
      </c>
      <c r="L262" s="19">
        <f>SUM(F262:K262)</f>
        <v>105345.03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420286.93</v>
      </c>
      <c r="L265" s="19">
        <f t="shared" si="9"/>
        <v>420286.93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1313981.33</v>
      </c>
      <c r="L269" s="41">
        <f t="shared" si="9"/>
        <v>1313981.33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13789422.710000001</v>
      </c>
      <c r="G270" s="42">
        <f t="shared" si="11"/>
        <v>5164395.71</v>
      </c>
      <c r="H270" s="42">
        <f t="shared" si="11"/>
        <v>2861701.45</v>
      </c>
      <c r="I270" s="42">
        <f t="shared" si="11"/>
        <v>1383481.2</v>
      </c>
      <c r="J270" s="42">
        <f t="shared" si="11"/>
        <v>350863.53</v>
      </c>
      <c r="K270" s="42">
        <f t="shared" si="11"/>
        <v>1353301.99</v>
      </c>
      <c r="L270" s="42">
        <f t="shared" si="11"/>
        <v>24903166.589999996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357234.46+50950.31+264.23</f>
        <v>408449</v>
      </c>
      <c r="G275" s="18">
        <f>94595.93+9617.74-264.23</f>
        <v>103949.44</v>
      </c>
      <c r="H275" s="18">
        <f>4800+131357.67+14850.11+7844.52</f>
        <v>158852.30000000002</v>
      </c>
      <c r="I275" s="18">
        <f>17232.79+14231.36</f>
        <v>31464.15</v>
      </c>
      <c r="J275" s="18">
        <f>85924.4+5671.25-3644.22</f>
        <v>87951.43</v>
      </c>
      <c r="K275" s="18">
        <v>964.68</v>
      </c>
      <c r="L275" s="19">
        <f>SUM(F275:K275)</f>
        <v>791631.00000000012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9176.1+154318.34-171.75</f>
        <v>163322.69</v>
      </c>
      <c r="G276" s="18">
        <f>2747.48+37629</f>
        <v>40376.480000000003</v>
      </c>
      <c r="H276" s="18">
        <f>10926.66+61073.64</f>
        <v>72000.3</v>
      </c>
      <c r="I276" s="18">
        <f>2918.74+17143.47</f>
        <v>20062.21</v>
      </c>
      <c r="J276" s="18">
        <f>2435.14+61595.25</f>
        <v>64030.39</v>
      </c>
      <c r="K276" s="18"/>
      <c r="L276" s="19">
        <f>SUM(F276:K276)</f>
        <v>359792.07000000007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272.16+40.98</f>
        <v>313.14000000000004</v>
      </c>
      <c r="G281" s="18">
        <v>19.79</v>
      </c>
      <c r="H281" s="18">
        <f>37834.86-2368.74</f>
        <v>35466.120000000003</v>
      </c>
      <c r="I281" s="18"/>
      <c r="J281" s="18"/>
      <c r="K281" s="18"/>
      <c r="L281" s="19">
        <f t="shared" si="12"/>
        <v>35799.050000000003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22694.11</v>
      </c>
      <c r="G282" s="18">
        <v>6208.35</v>
      </c>
      <c r="H282" s="18"/>
      <c r="I282" s="18">
        <v>370.38</v>
      </c>
      <c r="J282" s="18"/>
      <c r="K282" s="18"/>
      <c r="L282" s="19">
        <f t="shared" si="12"/>
        <v>29272.84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61500</v>
      </c>
      <c r="G283" s="18">
        <v>18042.55</v>
      </c>
      <c r="H283" s="18">
        <f>13317.05+2977.65</f>
        <v>16294.699999999999</v>
      </c>
      <c r="I283" s="18">
        <v>9757.1</v>
      </c>
      <c r="J283" s="18"/>
      <c r="K283" s="18"/>
      <c r="L283" s="19">
        <f t="shared" si="12"/>
        <v>105594.35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15161.33</v>
      </c>
      <c r="G284" s="18">
        <f>4308.84+11723.05</f>
        <v>16031.89</v>
      </c>
      <c r="H284" s="18">
        <f>896.82</f>
        <v>896.82</v>
      </c>
      <c r="I284" s="18"/>
      <c r="J284" s="18"/>
      <c r="K284" s="18"/>
      <c r="L284" s="19">
        <f t="shared" si="12"/>
        <v>32090.04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5338.69</v>
      </c>
      <c r="I286" s="18"/>
      <c r="J286" s="18"/>
      <c r="K286" s="18"/>
      <c r="L286" s="19">
        <f t="shared" si="12"/>
        <v>5338.69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671440.2699999999</v>
      </c>
      <c r="G289" s="42">
        <f t="shared" si="13"/>
        <v>184628.5</v>
      </c>
      <c r="H289" s="42">
        <f t="shared" si="13"/>
        <v>288848.93000000005</v>
      </c>
      <c r="I289" s="42">
        <f t="shared" si="13"/>
        <v>61653.84</v>
      </c>
      <c r="J289" s="42">
        <f t="shared" si="13"/>
        <v>151981.82</v>
      </c>
      <c r="K289" s="42">
        <f t="shared" si="13"/>
        <v>964.68</v>
      </c>
      <c r="L289" s="41">
        <f t="shared" si="13"/>
        <v>1359518.0400000005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27434.78</v>
      </c>
      <c r="G313" s="18">
        <v>5178.79</v>
      </c>
      <c r="H313" s="18">
        <v>7996.22</v>
      </c>
      <c r="I313" s="18">
        <v>7663.04</v>
      </c>
      <c r="J313" s="18">
        <v>3053.75</v>
      </c>
      <c r="K313" s="18"/>
      <c r="L313" s="19">
        <f>SUM(F313:K313)</f>
        <v>51326.58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83094.49-92.48</f>
        <v>83002.010000000009</v>
      </c>
      <c r="G314" s="18">
        <v>20261.77</v>
      </c>
      <c r="H314" s="18">
        <v>32885.81</v>
      </c>
      <c r="I314" s="18">
        <v>9231.1</v>
      </c>
      <c r="J314" s="18">
        <v>33166.68</v>
      </c>
      <c r="K314" s="18"/>
      <c r="L314" s="19">
        <f>SUM(F314:K314)</f>
        <v>178547.37000000002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v>399.97</v>
      </c>
      <c r="I315" s="18">
        <f>1033.17+17423.17</f>
        <v>18456.339999999997</v>
      </c>
      <c r="J315" s="18">
        <f>9571.29+4800</f>
        <v>14371.29</v>
      </c>
      <c r="K315" s="18"/>
      <c r="L315" s="19">
        <f>SUM(F315:K315)</f>
        <v>33227.599999999999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22.07+432</f>
        <v>454.07</v>
      </c>
      <c r="G319" s="18">
        <v>96.66</v>
      </c>
      <c r="H319" s="18">
        <f>3100-1275.48</f>
        <v>1824.52</v>
      </c>
      <c r="I319" s="18"/>
      <c r="J319" s="18"/>
      <c r="K319" s="18">
        <v>1882</v>
      </c>
      <c r="L319" s="19">
        <f t="shared" si="16"/>
        <v>4257.25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>
        <v>1603.35</v>
      </c>
      <c r="I321" s="18"/>
      <c r="J321" s="18"/>
      <c r="K321" s="18"/>
      <c r="L321" s="19">
        <f t="shared" si="16"/>
        <v>1603.35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>
        <v>6312.4</v>
      </c>
      <c r="H322" s="18">
        <v>482.89</v>
      </c>
      <c r="I322" s="18"/>
      <c r="J322" s="18"/>
      <c r="K322" s="18"/>
      <c r="L322" s="19">
        <f t="shared" si="16"/>
        <v>6795.29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6499.09</v>
      </c>
      <c r="I324" s="18"/>
      <c r="J324" s="18"/>
      <c r="K324" s="18"/>
      <c r="L324" s="19">
        <f t="shared" si="16"/>
        <v>6499.09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110890.86000000002</v>
      </c>
      <c r="G327" s="42">
        <f t="shared" si="17"/>
        <v>31849.620000000003</v>
      </c>
      <c r="H327" s="42">
        <f t="shared" si="17"/>
        <v>51691.849999999991</v>
      </c>
      <c r="I327" s="42">
        <f t="shared" si="17"/>
        <v>35350.479999999996</v>
      </c>
      <c r="J327" s="42">
        <f t="shared" si="17"/>
        <v>50591.72</v>
      </c>
      <c r="K327" s="42">
        <f t="shared" si="17"/>
        <v>1882</v>
      </c>
      <c r="L327" s="41">
        <f t="shared" si="17"/>
        <v>282256.52999999997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10748.46</v>
      </c>
      <c r="I335" s="18"/>
      <c r="J335" s="18"/>
      <c r="K335" s="18"/>
      <c r="L335" s="19">
        <f t="shared" si="18"/>
        <v>10748.46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10748.46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10748.46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782331.12999999989</v>
      </c>
      <c r="G337" s="41">
        <f t="shared" si="20"/>
        <v>216478.12</v>
      </c>
      <c r="H337" s="41">
        <f t="shared" si="20"/>
        <v>351289.24000000005</v>
      </c>
      <c r="I337" s="41">
        <f t="shared" si="20"/>
        <v>97004.319999999992</v>
      </c>
      <c r="J337" s="41">
        <f t="shared" si="20"/>
        <v>202573.54</v>
      </c>
      <c r="K337" s="41">
        <f t="shared" si="20"/>
        <v>2846.68</v>
      </c>
      <c r="L337" s="41">
        <f t="shared" si="20"/>
        <v>1652523.0300000005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782331.12999999989</v>
      </c>
      <c r="G351" s="41">
        <f>G337</f>
        <v>216478.12</v>
      </c>
      <c r="H351" s="41">
        <f>H337</f>
        <v>351289.24000000005</v>
      </c>
      <c r="I351" s="41">
        <f>I337</f>
        <v>97004.319999999992</v>
      </c>
      <c r="J351" s="41">
        <f>J337</f>
        <v>202573.54</v>
      </c>
      <c r="K351" s="47">
        <f>K337+K350</f>
        <v>2846.68</v>
      </c>
      <c r="L351" s="41">
        <f>L337+L350</f>
        <v>1652523.0300000005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197705.92</v>
      </c>
      <c r="G357" s="18">
        <v>52830.71</v>
      </c>
      <c r="H357" s="18">
        <f>1101.67+403.47</f>
        <v>1505.14</v>
      </c>
      <c r="I357" s="18">
        <v>250876.34</v>
      </c>
      <c r="J357" s="18">
        <v>2544.75</v>
      </c>
      <c r="K357" s="18">
        <v>69.709999999999994</v>
      </c>
      <c r="L357" s="13">
        <f>SUM(F357:K357)</f>
        <v>505532.57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104332.95</v>
      </c>
      <c r="G359" s="18">
        <v>42985.19</v>
      </c>
      <c r="H359" s="18">
        <f>593.2+217.25</f>
        <v>810.45</v>
      </c>
      <c r="I359" s="18">
        <v>135243.07999999999</v>
      </c>
      <c r="J359" s="18">
        <v>1370.25</v>
      </c>
      <c r="K359" s="18">
        <v>37.54</v>
      </c>
      <c r="L359" s="19">
        <f>SUM(F359:K359)</f>
        <v>284779.46000000002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302038.87</v>
      </c>
      <c r="G361" s="47">
        <f t="shared" si="22"/>
        <v>95815.9</v>
      </c>
      <c r="H361" s="47">
        <f t="shared" si="22"/>
        <v>2315.59</v>
      </c>
      <c r="I361" s="47">
        <f t="shared" si="22"/>
        <v>386119.42</v>
      </c>
      <c r="J361" s="47">
        <f t="shared" si="22"/>
        <v>3915</v>
      </c>
      <c r="K361" s="47">
        <f t="shared" si="22"/>
        <v>107.25</v>
      </c>
      <c r="L361" s="47">
        <f t="shared" si="22"/>
        <v>790312.03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240844.21</v>
      </c>
      <c r="G366" s="18"/>
      <c r="H366" s="18">
        <v>129685.34</v>
      </c>
      <c r="I366" s="56">
        <f>SUM(F366:H366)</f>
        <v>370529.55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10032.129999999999</v>
      </c>
      <c r="G367" s="63"/>
      <c r="H367" s="63">
        <v>5557.74</v>
      </c>
      <c r="I367" s="56">
        <f>SUM(F367:H367)</f>
        <v>15589.869999999999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250876.34</v>
      </c>
      <c r="G368" s="47">
        <f>SUM(G366:G367)</f>
        <v>0</v>
      </c>
      <c r="H368" s="47">
        <f>SUM(H366:H367)</f>
        <v>135243.07999999999</v>
      </c>
      <c r="I368" s="47">
        <f>SUM(I366:I367)</f>
        <v>386119.42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1065</v>
      </c>
      <c r="I375" s="18"/>
      <c r="J375" s="18"/>
      <c r="K375" s="18"/>
      <c r="L375" s="13">
        <f t="shared" si="23"/>
        <v>1065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1583556.87</v>
      </c>
      <c r="I378" s="18"/>
      <c r="J378" s="18"/>
      <c r="K378" s="18"/>
      <c r="L378" s="13">
        <f t="shared" si="23"/>
        <v>1583556.87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>
        <v>85740.43</v>
      </c>
      <c r="K379" s="18"/>
      <c r="L379" s="13">
        <f t="shared" si="23"/>
        <v>85740.43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1584621.87</v>
      </c>
      <c r="I381" s="41">
        <f t="shared" si="24"/>
        <v>0</v>
      </c>
      <c r="J381" s="47">
        <f t="shared" si="24"/>
        <v>85740.43</v>
      </c>
      <c r="K381" s="47">
        <f t="shared" si="24"/>
        <v>0</v>
      </c>
      <c r="L381" s="47">
        <f t="shared" si="24"/>
        <v>1670362.3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420286.93</v>
      </c>
      <c r="H388" s="18">
        <f>4848.62+43.79+467.4</f>
        <v>5359.8099999999995</v>
      </c>
      <c r="I388" s="18"/>
      <c r="J388" s="24" t="s">
        <v>289</v>
      </c>
      <c r="K388" s="24" t="s">
        <v>289</v>
      </c>
      <c r="L388" s="56">
        <f t="shared" si="25"/>
        <v>425646.74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420286.93</v>
      </c>
      <c r="H392" s="139">
        <f>SUM(H386:H391)</f>
        <v>5359.8099999999995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425646.74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f>8190.91+3382.15</f>
        <v>11573.06</v>
      </c>
      <c r="I394" s="18"/>
      <c r="J394" s="24" t="s">
        <v>289</v>
      </c>
      <c r="K394" s="24" t="s">
        <v>289</v>
      </c>
      <c r="L394" s="56">
        <f t="shared" ref="L394:L399" si="26">SUM(F394:K394)</f>
        <v>11573.06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3485.9</v>
      </c>
      <c r="I396" s="18"/>
      <c r="J396" s="24" t="s">
        <v>289</v>
      </c>
      <c r="K396" s="24" t="s">
        <v>289</v>
      </c>
      <c r="L396" s="56">
        <f t="shared" si="26"/>
        <v>3485.9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258.22000000000003</v>
      </c>
      <c r="I399" s="18"/>
      <c r="J399" s="24" t="s">
        <v>289</v>
      </c>
      <c r="K399" s="24" t="s">
        <v>289</v>
      </c>
      <c r="L399" s="56">
        <f t="shared" si="26"/>
        <v>258.22000000000003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15317.179999999998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15317.179999999998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420286.93</v>
      </c>
      <c r="H407" s="47">
        <f>H392+H400+H406</f>
        <v>20676.989999999998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440963.92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400000</v>
      </c>
      <c r="L414" s="56">
        <f t="shared" si="27"/>
        <v>400000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400000</v>
      </c>
      <c r="L418" s="47">
        <f t="shared" si="28"/>
        <v>400000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400000</v>
      </c>
      <c r="L433" s="47">
        <f t="shared" si="32"/>
        <v>400000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838292.75</v>
      </c>
      <c r="G439" s="18">
        <f>677148.16+279606.19+343283.92+25442.77</f>
        <v>1325481.04</v>
      </c>
      <c r="H439" s="18"/>
      <c r="I439" s="56">
        <f t="shared" si="33"/>
        <v>2163773.79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838292.75</v>
      </c>
      <c r="G445" s="13">
        <f>SUM(G438:G444)</f>
        <v>1325481.04</v>
      </c>
      <c r="H445" s="13">
        <f>SUM(H438:H444)</f>
        <v>0</v>
      </c>
      <c r="I445" s="13">
        <f>SUM(I438:I444)</f>
        <v>2163773.79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838292.75</v>
      </c>
      <c r="G458" s="18">
        <v>1325481.04</v>
      </c>
      <c r="H458" s="18"/>
      <c r="I458" s="56">
        <f t="shared" si="34"/>
        <v>2163773.79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838292.75</v>
      </c>
      <c r="G459" s="83">
        <f>SUM(G453:G458)</f>
        <v>1325481.04</v>
      </c>
      <c r="H459" s="83">
        <f>SUM(H453:H458)</f>
        <v>0</v>
      </c>
      <c r="I459" s="83">
        <f>SUM(I453:I458)</f>
        <v>2163773.79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838292.75</v>
      </c>
      <c r="G460" s="42">
        <f>G451+G459</f>
        <v>1325481.04</v>
      </c>
      <c r="H460" s="42">
        <f>H451+H459</f>
        <v>0</v>
      </c>
      <c r="I460" s="42">
        <f>I451+I459</f>
        <v>2163773.79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420286.93</v>
      </c>
      <c r="G464" s="18">
        <v>0</v>
      </c>
      <c r="H464" s="18">
        <v>38755.599999999999</v>
      </c>
      <c r="I464" s="18">
        <v>627056.75</v>
      </c>
      <c r="J464" s="18">
        <v>2154903.5299999998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24965927.190000001</v>
      </c>
      <c r="G467" s="18">
        <v>790312.03</v>
      </c>
      <c r="H467" s="18">
        <f>1618783.07+35574.9</f>
        <v>1654357.97</v>
      </c>
      <c r="I467" s="18">
        <v>1142452</v>
      </c>
      <c r="J467" s="18">
        <f>420286.93+20676.99</f>
        <v>440963.92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24965927.190000001</v>
      </c>
      <c r="G469" s="53">
        <f>SUM(G467:G468)</f>
        <v>790312.03</v>
      </c>
      <c r="H469" s="53">
        <f>SUM(H467:H468)</f>
        <v>1654357.97</v>
      </c>
      <c r="I469" s="53">
        <f>SUM(I467:I468)</f>
        <v>1142452</v>
      </c>
      <c r="J469" s="53">
        <f>SUM(J467:J468)</f>
        <v>440963.92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24475623.36+420286.93+7256.3</f>
        <v>24903166.59</v>
      </c>
      <c r="G471" s="18">
        <v>790312.03</v>
      </c>
      <c r="H471" s="18">
        <f>1652523.03</f>
        <v>1652523.03</v>
      </c>
      <c r="I471" s="18">
        <v>1670362.3</v>
      </c>
      <c r="J471" s="18">
        <v>400000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1539.62</v>
      </c>
      <c r="G472" s="18"/>
      <c r="H472" s="18">
        <v>0.01</v>
      </c>
      <c r="I472" s="18">
        <v>59000.5</v>
      </c>
      <c r="J472" s="18">
        <f>23130.41+8963.25</f>
        <v>32093.66</v>
      </c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24904706.210000001</v>
      </c>
      <c r="G473" s="53">
        <f>SUM(G471:G472)</f>
        <v>790312.03</v>
      </c>
      <c r="H473" s="53">
        <f>SUM(H471:H472)</f>
        <v>1652523.04</v>
      </c>
      <c r="I473" s="53">
        <f>SUM(I471:I472)</f>
        <v>1729362.8</v>
      </c>
      <c r="J473" s="53">
        <f>SUM(J471:J472)</f>
        <v>432093.66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481507.91000000015</v>
      </c>
      <c r="G475" s="53">
        <f>(G464+G469)- G473</f>
        <v>0</v>
      </c>
      <c r="H475" s="53">
        <f>(H464+H469)- H473</f>
        <v>40590.530000000028</v>
      </c>
      <c r="I475" s="53">
        <f>(I464+I469)- I473</f>
        <v>40145.949999999953</v>
      </c>
      <c r="J475" s="53">
        <f>(J464+J469)- J473</f>
        <v>2163773.7899999996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19</v>
      </c>
      <c r="G489" s="154">
        <v>5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1911965</v>
      </c>
      <c r="G492" s="18">
        <v>3042452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0.05</v>
      </c>
      <c r="G493" s="18">
        <v>0.02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1400000</v>
      </c>
      <c r="G494" s="18">
        <v>200000</v>
      </c>
      <c r="H494" s="18"/>
      <c r="I494" s="18"/>
      <c r="J494" s="18"/>
      <c r="K494" s="53">
        <f>SUM(F494:J494)</f>
        <v>1600000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1042452</v>
      </c>
      <c r="H495" s="18"/>
      <c r="I495" s="18"/>
      <c r="J495" s="18"/>
      <c r="K495" s="53">
        <f t="shared" ref="K495:K502" si="35">SUM(F495:J495)</f>
        <v>1042452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100000</v>
      </c>
      <c r="G496" s="18">
        <v>608492</v>
      </c>
      <c r="H496" s="18"/>
      <c r="I496" s="18"/>
      <c r="J496" s="18"/>
      <c r="K496" s="53">
        <f t="shared" si="35"/>
        <v>708492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1300000</v>
      </c>
      <c r="G497" s="205">
        <v>2433960</v>
      </c>
      <c r="H497" s="205"/>
      <c r="I497" s="205"/>
      <c r="J497" s="205"/>
      <c r="K497" s="206">
        <f t="shared" si="35"/>
        <v>3733960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374772.5</v>
      </c>
      <c r="G498" s="18">
        <v>239761.77</v>
      </c>
      <c r="H498" s="18"/>
      <c r="I498" s="18"/>
      <c r="J498" s="18"/>
      <c r="K498" s="53">
        <f t="shared" si="35"/>
        <v>614534.27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1674772.5</v>
      </c>
      <c r="G499" s="42">
        <f>SUM(G497:G498)</f>
        <v>2673721.77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4348494.2699999996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100000</v>
      </c>
      <c r="G500" s="205">
        <v>608492</v>
      </c>
      <c r="H500" s="205"/>
      <c r="I500" s="205"/>
      <c r="J500" s="205"/>
      <c r="K500" s="206">
        <f t="shared" si="35"/>
        <v>708492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56265</v>
      </c>
      <c r="G501" s="18">
        <v>70518.2</v>
      </c>
      <c r="H501" s="18"/>
      <c r="I501" s="18"/>
      <c r="J501" s="18"/>
      <c r="K501" s="53">
        <f t="shared" si="35"/>
        <v>126783.2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156265</v>
      </c>
      <c r="G502" s="42">
        <f>SUM(G500:G501)</f>
        <v>679010.2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835275.2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2146214.14-474071.22</f>
        <v>1672142.9200000002</v>
      </c>
      <c r="G520" s="18">
        <f>627994.74-185787.03</f>
        <v>442207.70999999996</v>
      </c>
      <c r="H520" s="18">
        <f>894701.65-4790.23</f>
        <v>889911.42</v>
      </c>
      <c r="I520" s="18">
        <v>37374.33</v>
      </c>
      <c r="J520" s="18">
        <v>70349.36</v>
      </c>
      <c r="K520" s="18">
        <v>3653.2</v>
      </c>
      <c r="L520" s="88">
        <f>SUM(F520:K520)</f>
        <v>3115638.94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1155653.77-188198.74</f>
        <v>967455.03</v>
      </c>
      <c r="G522" s="18">
        <f>338151.01-71800.33</f>
        <v>266350.68</v>
      </c>
      <c r="H522" s="18">
        <f>481762.43-2584.73</f>
        <v>479177.7</v>
      </c>
      <c r="I522" s="18">
        <v>20124.64</v>
      </c>
      <c r="J522" s="18">
        <v>37880.43</v>
      </c>
      <c r="K522" s="18">
        <v>1967.12</v>
      </c>
      <c r="L522" s="88">
        <f>SUM(F522:K522)</f>
        <v>1772955.5999999999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2639597.9500000002</v>
      </c>
      <c r="G523" s="108">
        <f t="shared" ref="G523:L523" si="36">SUM(G520:G522)</f>
        <v>708558.3899999999</v>
      </c>
      <c r="H523" s="108">
        <f t="shared" si="36"/>
        <v>1369089.12</v>
      </c>
      <c r="I523" s="108">
        <f t="shared" si="36"/>
        <v>57498.97</v>
      </c>
      <c r="J523" s="108">
        <f t="shared" si="36"/>
        <v>108229.79000000001</v>
      </c>
      <c r="K523" s="108">
        <f t="shared" si="36"/>
        <v>5620.32</v>
      </c>
      <c r="L523" s="89">
        <f t="shared" si="36"/>
        <v>4888594.54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350533.2</v>
      </c>
      <c r="G525" s="18">
        <v>151147.65</v>
      </c>
      <c r="H525" s="18">
        <f>5490+1170</f>
        <v>6660</v>
      </c>
      <c r="I525" s="18"/>
      <c r="J525" s="18"/>
      <c r="K525" s="18"/>
      <c r="L525" s="88">
        <f>SUM(F525:K525)</f>
        <v>508340.85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121678.26</v>
      </c>
      <c r="G527" s="18">
        <v>53148.35</v>
      </c>
      <c r="H527" s="18"/>
      <c r="I527" s="18"/>
      <c r="J527" s="18"/>
      <c r="K527" s="18"/>
      <c r="L527" s="88">
        <f>SUM(F527:K527)</f>
        <v>174826.61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472211.46</v>
      </c>
      <c r="G528" s="89">
        <f t="shared" ref="G528:L528" si="37">SUM(G525:G527)</f>
        <v>204296</v>
      </c>
      <c r="H528" s="89">
        <f t="shared" si="37"/>
        <v>6660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683167.46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123538.02</v>
      </c>
      <c r="G530" s="18">
        <v>34639.379999999997</v>
      </c>
      <c r="H530" s="18"/>
      <c r="I530" s="18"/>
      <c r="J530" s="18"/>
      <c r="K530" s="18"/>
      <c r="L530" s="88">
        <f>SUM(F530:K530)</f>
        <v>158177.4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66520.479999999996</v>
      </c>
      <c r="G532" s="18">
        <v>18651.98</v>
      </c>
      <c r="H532" s="18"/>
      <c r="I532" s="18"/>
      <c r="J532" s="18"/>
      <c r="K532" s="18"/>
      <c r="L532" s="88">
        <f>SUM(F532:K532)</f>
        <v>85172.459999999992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190058.5</v>
      </c>
      <c r="G533" s="89">
        <f t="shared" ref="G533:L533" si="38">SUM(G530:G532)</f>
        <v>53291.360000000001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243349.86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4790.2299999999996</v>
      </c>
      <c r="I535" s="18"/>
      <c r="J535" s="18"/>
      <c r="K535" s="18"/>
      <c r="L535" s="88">
        <f>SUM(F535:K535)</f>
        <v>4790.2299999999996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2584.73</v>
      </c>
      <c r="I537" s="18"/>
      <c r="J537" s="18"/>
      <c r="K537" s="18"/>
      <c r="L537" s="88">
        <f>SUM(F537:K537)</f>
        <v>2584.73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7374.9599999999991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7374.9599999999991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101921.55</v>
      </c>
      <c r="G540" s="18">
        <v>14542.89</v>
      </c>
      <c r="H540" s="18">
        <v>28282.94</v>
      </c>
      <c r="I540" s="18">
        <v>46726.86</v>
      </c>
      <c r="J540" s="18">
        <v>36851.83</v>
      </c>
      <c r="K540" s="18"/>
      <c r="L540" s="88">
        <f>SUM(F540:K540)</f>
        <v>228326.07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26878</v>
      </c>
      <c r="G542" s="18">
        <v>3056.16</v>
      </c>
      <c r="H542" s="18">
        <v>9480.42</v>
      </c>
      <c r="I542" s="18">
        <v>2459.3000000000002</v>
      </c>
      <c r="J542" s="18">
        <v>1939.56</v>
      </c>
      <c r="K542" s="18"/>
      <c r="L542" s="88">
        <f>SUM(F542:K542)</f>
        <v>43813.440000000002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128799.55</v>
      </c>
      <c r="G543" s="194">
        <f t="shared" ref="G543:L543" si="40">SUM(G540:G542)</f>
        <v>17599.05</v>
      </c>
      <c r="H543" s="194">
        <f t="shared" si="40"/>
        <v>37763.360000000001</v>
      </c>
      <c r="I543" s="194">
        <f t="shared" si="40"/>
        <v>49186.16</v>
      </c>
      <c r="J543" s="194">
        <f t="shared" si="40"/>
        <v>38791.39</v>
      </c>
      <c r="K543" s="194">
        <f t="shared" si="40"/>
        <v>0</v>
      </c>
      <c r="L543" s="194">
        <f t="shared" si="40"/>
        <v>272139.51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3430667.46</v>
      </c>
      <c r="G544" s="89">
        <f t="shared" ref="G544:L544" si="41">G523+G528+G533+G538+G543</f>
        <v>983744.79999999993</v>
      </c>
      <c r="H544" s="89">
        <f t="shared" si="41"/>
        <v>1420887.4400000002</v>
      </c>
      <c r="I544" s="89">
        <f t="shared" si="41"/>
        <v>106685.13</v>
      </c>
      <c r="J544" s="89">
        <f t="shared" si="41"/>
        <v>147021.18</v>
      </c>
      <c r="K544" s="89">
        <f t="shared" si="41"/>
        <v>5620.32</v>
      </c>
      <c r="L544" s="89">
        <f t="shared" si="41"/>
        <v>6094626.3300000001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3115638.94</v>
      </c>
      <c r="G548" s="87">
        <f>L525</f>
        <v>508340.85</v>
      </c>
      <c r="H548" s="87">
        <f>L530</f>
        <v>158177.4</v>
      </c>
      <c r="I548" s="87">
        <f>L535</f>
        <v>4790.2299999999996</v>
      </c>
      <c r="J548" s="87">
        <f>L540</f>
        <v>228326.07</v>
      </c>
      <c r="K548" s="87">
        <f>SUM(F548:J548)</f>
        <v>4015273.4899999998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1772955.5999999999</v>
      </c>
      <c r="G550" s="87">
        <f>L527</f>
        <v>174826.61</v>
      </c>
      <c r="H550" s="87">
        <f>L532</f>
        <v>85172.459999999992</v>
      </c>
      <c r="I550" s="87">
        <f>L537</f>
        <v>2584.73</v>
      </c>
      <c r="J550" s="87">
        <f>L542</f>
        <v>43813.440000000002</v>
      </c>
      <c r="K550" s="87">
        <f>SUM(F550:J550)</f>
        <v>2079352.8399999999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4888594.54</v>
      </c>
      <c r="G551" s="89">
        <f t="shared" si="42"/>
        <v>683167.46</v>
      </c>
      <c r="H551" s="89">
        <f t="shared" si="42"/>
        <v>243349.86</v>
      </c>
      <c r="I551" s="89">
        <f t="shared" si="42"/>
        <v>7374.9599999999991</v>
      </c>
      <c r="J551" s="89">
        <f t="shared" si="42"/>
        <v>272139.51</v>
      </c>
      <c r="K551" s="89">
        <f t="shared" si="42"/>
        <v>6094626.3300000001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/>
      <c r="H578" s="18">
        <v>39474.03</v>
      </c>
      <c r="I578" s="87">
        <f t="shared" si="47"/>
        <v>39474.03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f>55183.15+10286</f>
        <v>65469.15</v>
      </c>
      <c r="G579" s="18"/>
      <c r="H579" s="18">
        <v>0</v>
      </c>
      <c r="I579" s="87">
        <f t="shared" si="47"/>
        <v>65469.15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137330+71220.72+45048.06+11749.87</f>
        <v>265348.65000000002</v>
      </c>
      <c r="G581" s="18"/>
      <c r="H581" s="18">
        <v>726408.16</v>
      </c>
      <c r="I581" s="87">
        <f t="shared" si="47"/>
        <v>991756.81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12241.77</v>
      </c>
      <c r="I583" s="87">
        <f t="shared" si="47"/>
        <v>12241.77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336937</v>
      </c>
      <c r="I584" s="87">
        <f t="shared" si="47"/>
        <v>336937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178854.01+211752.91</f>
        <v>390606.92000000004</v>
      </c>
      <c r="I590" s="18"/>
      <c r="J590" s="18">
        <f>117290.5+141169.28</f>
        <v>258459.78</v>
      </c>
      <c r="K590" s="104">
        <f t="shared" ref="K590:K596" si="48">SUM(H590:J590)</f>
        <v>649066.70000000007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101266.33+121721.05</f>
        <v>222987.38</v>
      </c>
      <c r="I591" s="18"/>
      <c r="J591" s="18">
        <f>17499.29+19815.06</f>
        <v>37314.350000000006</v>
      </c>
      <c r="K591" s="104">
        <f>SUM(H591:J591)</f>
        <v>260301.73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18951.63+22585.16</f>
        <v>41536.79</v>
      </c>
      <c r="K592" s="104">
        <f t="shared" si="48"/>
        <v>41536.79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10209.1+12352.08</f>
        <v>22561.18</v>
      </c>
      <c r="I593" s="18"/>
      <c r="J593" s="18">
        <f>17804.05+21031.92</f>
        <v>38835.97</v>
      </c>
      <c r="K593" s="104">
        <f t="shared" si="48"/>
        <v>61397.15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10859.76+13070.87</f>
        <v>23930.63</v>
      </c>
      <c r="I594" s="18"/>
      <c r="J594" s="18">
        <f>2515.87+2869.22</f>
        <v>5385.09</v>
      </c>
      <c r="K594" s="104">
        <f t="shared" si="48"/>
        <v>29315.72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660086.1100000001</v>
      </c>
      <c r="I597" s="108">
        <f>SUM(I590:I596)</f>
        <v>0</v>
      </c>
      <c r="J597" s="108">
        <f>SUM(J590:J596)</f>
        <v>381531.98000000004</v>
      </c>
      <c r="K597" s="108">
        <f>SUM(K590:K596)</f>
        <v>1041618.0900000001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376698.88</v>
      </c>
      <c r="I603" s="18"/>
      <c r="J603" s="18">
        <v>176738.19</v>
      </c>
      <c r="K603" s="104">
        <f>SUM(H603:J603)</f>
        <v>553437.07000000007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376698.88</v>
      </c>
      <c r="I604" s="108">
        <f>SUM(I601:I603)</f>
        <v>0</v>
      </c>
      <c r="J604" s="108">
        <f>SUM(J601:J603)</f>
        <v>176738.19</v>
      </c>
      <c r="K604" s="108">
        <f>SUM(K601:K603)</f>
        <v>553437.07000000007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101015.54</v>
      </c>
      <c r="G610" s="18">
        <v>13870.48</v>
      </c>
      <c r="H610" s="18">
        <v>6423.78</v>
      </c>
      <c r="I610" s="18">
        <v>5787.93</v>
      </c>
      <c r="J610" s="18"/>
      <c r="K610" s="18"/>
      <c r="L610" s="88">
        <f>SUM(F610:K610)</f>
        <v>127097.72999999998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3156.92</v>
      </c>
      <c r="G612" s="18">
        <v>354.83</v>
      </c>
      <c r="H612" s="18"/>
      <c r="I612" s="18"/>
      <c r="J612" s="18"/>
      <c r="K612" s="18"/>
      <c r="L612" s="88">
        <f>SUM(F612:K612)</f>
        <v>3511.75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104172.45999999999</v>
      </c>
      <c r="G613" s="108">
        <f t="shared" si="49"/>
        <v>14225.31</v>
      </c>
      <c r="H613" s="108">
        <f t="shared" si="49"/>
        <v>6423.78</v>
      </c>
      <c r="I613" s="108">
        <f t="shared" si="49"/>
        <v>5787.93</v>
      </c>
      <c r="J613" s="108">
        <f t="shared" si="49"/>
        <v>0</v>
      </c>
      <c r="K613" s="108">
        <f t="shared" si="49"/>
        <v>0</v>
      </c>
      <c r="L613" s="89">
        <f t="shared" si="49"/>
        <v>130609.47999999998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1288495.73</v>
      </c>
      <c r="H616" s="109">
        <f>SUM(F51)</f>
        <v>1288495.73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1790.5899999999997</v>
      </c>
      <c r="H617" s="109">
        <f>SUM(G51)</f>
        <v>1790.5900000000001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41347.130000000005</v>
      </c>
      <c r="H618" s="109">
        <f>SUM(H51)</f>
        <v>41347.129999999997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40145.949999999997</v>
      </c>
      <c r="H619" s="109">
        <f>SUM(I51)</f>
        <v>40145.949999999997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2163773.79</v>
      </c>
      <c r="H620" s="109">
        <f>SUM(J51)</f>
        <v>2163773.79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481507.91000000003</v>
      </c>
      <c r="H621" s="109">
        <f>F475</f>
        <v>481507.91000000015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40590.53</v>
      </c>
      <c r="H623" s="109">
        <f>H475</f>
        <v>40590.530000000028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40145.949999999997</v>
      </c>
      <c r="H624" s="109">
        <f>I475</f>
        <v>40145.949999999953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2163773.79</v>
      </c>
      <c r="H625" s="109">
        <f>J475</f>
        <v>2163773.7899999996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24965927.189999998</v>
      </c>
      <c r="H626" s="104">
        <f>SUM(F467)</f>
        <v>24965927.190000001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790312.03</v>
      </c>
      <c r="H627" s="104">
        <f>SUM(G467)</f>
        <v>790312.03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1654357.9699999997</v>
      </c>
      <c r="H628" s="104">
        <f>SUM(H467)</f>
        <v>1654357.97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1142452</v>
      </c>
      <c r="H629" s="104">
        <f>SUM(I467)</f>
        <v>1142452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440963.92</v>
      </c>
      <c r="H630" s="104">
        <f>SUM(J467)</f>
        <v>440963.92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24903166.589999996</v>
      </c>
      <c r="H631" s="104">
        <f>SUM(F471)</f>
        <v>24903166.59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1652523.0300000005</v>
      </c>
      <c r="H632" s="104">
        <f>SUM(H471)</f>
        <v>1652523.03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386119.42</v>
      </c>
      <c r="H633" s="104">
        <f>I368</f>
        <v>386119.42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790312.03</v>
      </c>
      <c r="H634" s="104">
        <f>SUM(G471)</f>
        <v>790312.03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1670362.3</v>
      </c>
      <c r="H635" s="104">
        <f>SUM(I471)</f>
        <v>1670362.3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440963.92</v>
      </c>
      <c r="H636" s="164">
        <f>SUM(J467)</f>
        <v>440963.92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400000</v>
      </c>
      <c r="H637" s="164">
        <f>SUM(J471)</f>
        <v>400000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838292.75</v>
      </c>
      <c r="H638" s="104">
        <f>SUM(F460)</f>
        <v>838292.75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1325481.04</v>
      </c>
      <c r="H639" s="104">
        <f>SUM(G460)</f>
        <v>1325481.04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2163773.79</v>
      </c>
      <c r="H641" s="104">
        <f>SUM(I460)</f>
        <v>2163773.79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20676.990000000002</v>
      </c>
      <c r="H643" s="104">
        <f>H407</f>
        <v>20676.989999999998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420286.93</v>
      </c>
      <c r="H644" s="104">
        <f>G407</f>
        <v>420286.93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440963.92</v>
      </c>
      <c r="H645" s="104">
        <f>L407</f>
        <v>440963.92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1041618.0900000001</v>
      </c>
      <c r="H646" s="104">
        <f>L207+L225+L243</f>
        <v>1041618.09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553437.07000000007</v>
      </c>
      <c r="H647" s="104">
        <f>(J256+J337)-(J254+J335)</f>
        <v>553437.07000000007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660086.11</v>
      </c>
      <c r="H648" s="104">
        <f>H597</f>
        <v>660086.1100000001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381531.98</v>
      </c>
      <c r="H650" s="104">
        <f>J597</f>
        <v>381531.98000000004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105345.03</v>
      </c>
      <c r="H651" s="104">
        <f>K262+K344</f>
        <v>105345.03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420286.93</v>
      </c>
      <c r="H654" s="104">
        <f>K265+K346</f>
        <v>420286.93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16379218.790000001</v>
      </c>
      <c r="G659" s="19">
        <f>(L228+L308+L358)</f>
        <v>0</v>
      </c>
      <c r="H659" s="19">
        <f>(L246+L327+L359)</f>
        <v>9452157.3200000003</v>
      </c>
      <c r="I659" s="19">
        <f>SUM(F659:H659)</f>
        <v>25831376.109999999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230589.20042548978</v>
      </c>
      <c r="G660" s="19">
        <f>(L358/IF(SUM(L357:L359)=0,1,SUM(L357:L359))*(SUM(G96:G109)))</f>
        <v>0</v>
      </c>
      <c r="H660" s="19">
        <f>(L359/IF(SUM(L357:L359)=0,1,SUM(L357:L359))*(SUM(G96:G109)))</f>
        <v>129896.80957451023</v>
      </c>
      <c r="I660" s="19">
        <f>SUM(F660:H660)</f>
        <v>360486.01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642247.09</v>
      </c>
      <c r="G661" s="19">
        <f>(L225+L305)-(J225+J305)</f>
        <v>0</v>
      </c>
      <c r="H661" s="19">
        <f>(L243+L324)-(J243+J324)</f>
        <v>375550.77</v>
      </c>
      <c r="I661" s="19">
        <f>SUM(F661:H661)</f>
        <v>1017797.86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834614.41</v>
      </c>
      <c r="G662" s="200">
        <f>SUM(G574:G586)+SUM(I601:I603)+L611</f>
        <v>0</v>
      </c>
      <c r="H662" s="200">
        <f>SUM(H574:H586)+SUM(J601:J603)+L612</f>
        <v>1295310.8999999999</v>
      </c>
      <c r="I662" s="19">
        <f>SUM(F662:H662)</f>
        <v>2129925.31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14671768.089574512</v>
      </c>
      <c r="G663" s="19">
        <f>G659-SUM(G660:G662)</f>
        <v>0</v>
      </c>
      <c r="H663" s="19">
        <f>H659-SUM(H660:H662)</f>
        <v>7651398.8404254904</v>
      </c>
      <c r="I663" s="19">
        <f>I659-SUM(I660:I662)</f>
        <v>22323166.93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1052.22</v>
      </c>
      <c r="G664" s="249"/>
      <c r="H664" s="249">
        <v>557.88</v>
      </c>
      <c r="I664" s="19">
        <f>SUM(F664:H664)</f>
        <v>1610.1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13943.63</v>
      </c>
      <c r="G666" s="19" t="e">
        <f>ROUND(G663/G664,2)</f>
        <v>#DIV/0!</v>
      </c>
      <c r="H666" s="19">
        <f>ROUND(H663/H664,2)</f>
        <v>13715.13</v>
      </c>
      <c r="I666" s="19">
        <f>ROUND(I663/I664,2)</f>
        <v>13864.46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-30.91</v>
      </c>
      <c r="I669" s="19">
        <f>SUM(F669:H669)</f>
        <v>-30.91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13943.63</v>
      </c>
      <c r="G671" s="19" t="e">
        <f>ROUND((G663+G668)/(G664+G669),2)</f>
        <v>#DIV/0!</v>
      </c>
      <c r="H671" s="19">
        <f>ROUND((H663+H668)/(H664+H669),2)</f>
        <v>14519.61</v>
      </c>
      <c r="I671" s="19">
        <f>ROUND((I663+I668)/(I664+I669),2)</f>
        <v>14135.83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Fall Mountain Regional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6351855.1500000004</v>
      </c>
      <c r="C9" s="230">
        <f>'DOE25'!G196+'DOE25'!G214+'DOE25'!G232+'DOE25'!G275+'DOE25'!G294+'DOE25'!G313</f>
        <v>2542611.3000000003</v>
      </c>
    </row>
    <row r="10" spans="1:3" x14ac:dyDescent="0.2">
      <c r="A10" t="s">
        <v>779</v>
      </c>
      <c r="B10" s="241">
        <v>6201672.2000000002</v>
      </c>
      <c r="C10" s="241">
        <v>2528343.91</v>
      </c>
    </row>
    <row r="11" spans="1:3" x14ac:dyDescent="0.2">
      <c r="A11" t="s">
        <v>780</v>
      </c>
      <c r="B11" s="241">
        <v>150182.95000000001</v>
      </c>
      <c r="C11" s="241">
        <v>14267.39</v>
      </c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6351855.1500000004</v>
      </c>
      <c r="C13" s="232">
        <f>SUM(C10:C12)</f>
        <v>2542611.3000000003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3301603.67</v>
      </c>
      <c r="C18" s="230">
        <f>'DOE25'!G197+'DOE25'!G215+'DOE25'!G233+'DOE25'!G276+'DOE25'!G295+'DOE25'!G314</f>
        <v>966145.75</v>
      </c>
    </row>
    <row r="19" spans="1:3" x14ac:dyDescent="0.2">
      <c r="A19" t="s">
        <v>779</v>
      </c>
      <c r="B19" s="241">
        <v>1380340.9</v>
      </c>
      <c r="C19" s="241">
        <v>557347.93999999994</v>
      </c>
    </row>
    <row r="20" spans="1:3" x14ac:dyDescent="0.2">
      <c r="A20" t="s">
        <v>780</v>
      </c>
      <c r="B20" s="241">
        <v>1252770.95</v>
      </c>
      <c r="C20" s="241">
        <v>219013.24</v>
      </c>
    </row>
    <row r="21" spans="1:3" x14ac:dyDescent="0.2">
      <c r="A21" t="s">
        <v>781</v>
      </c>
      <c r="B21" s="241">
        <v>668491.81999999995</v>
      </c>
      <c r="C21" s="241">
        <v>189784.57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3301603.6699999995</v>
      </c>
      <c r="C22" s="232">
        <f>SUM(C19:C21)</f>
        <v>966145.75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381936.81</v>
      </c>
      <c r="C27" s="235">
        <f>'DOE25'!G198+'DOE25'!G216+'DOE25'!G234+'DOE25'!G277+'DOE25'!G296+'DOE25'!G315</f>
        <v>136750.46</v>
      </c>
    </row>
    <row r="28" spans="1:3" x14ac:dyDescent="0.2">
      <c r="A28" t="s">
        <v>779</v>
      </c>
      <c r="B28" s="241">
        <v>381936.81</v>
      </c>
      <c r="C28" s="241">
        <v>136750.46</v>
      </c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381936.81</v>
      </c>
      <c r="C31" s="232">
        <f>SUM(C28:C30)</f>
        <v>136750.46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223469.66</v>
      </c>
      <c r="C36" s="236">
        <f>'DOE25'!G199+'DOE25'!G217+'DOE25'!G235+'DOE25'!G278+'DOE25'!G297+'DOE25'!G316</f>
        <v>42160.729999999996</v>
      </c>
    </row>
    <row r="37" spans="1:3" x14ac:dyDescent="0.2">
      <c r="A37" t="s">
        <v>779</v>
      </c>
      <c r="B37" s="241">
        <v>145471.73000000001</v>
      </c>
      <c r="C37" s="241">
        <v>29631.79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77997.929999999993</v>
      </c>
      <c r="C39" s="241">
        <f>11022.05+1506.89</f>
        <v>12528.939999999999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223469.66</v>
      </c>
      <c r="C40" s="232">
        <f>SUM(C37:C39)</f>
        <v>42160.729999999996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Fall Mountain Regional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15547992.91</v>
      </c>
      <c r="D5" s="20">
        <f>SUM('DOE25'!L196:L199)+SUM('DOE25'!L214:L217)+SUM('DOE25'!L232:L235)-F5-G5</f>
        <v>15268376.200000001</v>
      </c>
      <c r="E5" s="244"/>
      <c r="F5" s="256">
        <f>SUM('DOE25'!J196:J199)+SUM('DOE25'!J214:J217)+SUM('DOE25'!J232:J235)</f>
        <v>257067.27000000002</v>
      </c>
      <c r="G5" s="53">
        <f>SUM('DOE25'!K196:K199)+SUM('DOE25'!K214:K217)+SUM('DOE25'!K232:K235)</f>
        <v>22549.440000000002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1143304.17</v>
      </c>
      <c r="D6" s="20">
        <f>'DOE25'!L201+'DOE25'!L219+'DOE25'!L237-F6-G6</f>
        <v>1136441.9099999999</v>
      </c>
      <c r="E6" s="244"/>
      <c r="F6" s="256">
        <f>'DOE25'!J201+'DOE25'!J219+'DOE25'!J237</f>
        <v>6742.26</v>
      </c>
      <c r="G6" s="53">
        <f>'DOE25'!K201+'DOE25'!K219+'DOE25'!K237</f>
        <v>120</v>
      </c>
      <c r="H6" s="260"/>
    </row>
    <row r="7" spans="1:9" x14ac:dyDescent="0.2">
      <c r="A7" s="32">
        <v>2200</v>
      </c>
      <c r="B7" t="s">
        <v>834</v>
      </c>
      <c r="C7" s="246">
        <f t="shared" si="0"/>
        <v>948398.46</v>
      </c>
      <c r="D7" s="20">
        <f>'DOE25'!L202+'DOE25'!L220+'DOE25'!L238-F7-G7</f>
        <v>939807.3</v>
      </c>
      <c r="E7" s="244"/>
      <c r="F7" s="256">
        <f>'DOE25'!J202+'DOE25'!J220+'DOE25'!J238</f>
        <v>2352.84</v>
      </c>
      <c r="G7" s="53">
        <f>'DOE25'!K202+'DOE25'!K220+'DOE25'!K238</f>
        <v>6238.32</v>
      </c>
      <c r="H7" s="260"/>
    </row>
    <row r="8" spans="1:9" x14ac:dyDescent="0.2">
      <c r="A8" s="32">
        <v>2300</v>
      </c>
      <c r="B8" t="s">
        <v>802</v>
      </c>
      <c r="C8" s="246">
        <f t="shared" si="0"/>
        <v>39297.589999999887</v>
      </c>
      <c r="D8" s="244"/>
      <c r="E8" s="20">
        <f>'DOE25'!L203+'DOE25'!L221+'DOE25'!L239-F8-G8-D9-D11</f>
        <v>32975.319999999891</v>
      </c>
      <c r="F8" s="256">
        <f>'DOE25'!J203+'DOE25'!J221+'DOE25'!J239</f>
        <v>134.49</v>
      </c>
      <c r="G8" s="53">
        <f>'DOE25'!K203+'DOE25'!K221+'DOE25'!K239</f>
        <v>6187.7800000000007</v>
      </c>
      <c r="H8" s="260"/>
    </row>
    <row r="9" spans="1:9" x14ac:dyDescent="0.2">
      <c r="A9" s="32">
        <v>2310</v>
      </c>
      <c r="B9" t="s">
        <v>818</v>
      </c>
      <c r="C9" s="246">
        <f t="shared" si="0"/>
        <v>141497.78</v>
      </c>
      <c r="D9" s="245">
        <v>141497.78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28805</v>
      </c>
      <c r="D10" s="244"/>
      <c r="E10" s="245">
        <v>28805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354306.33</v>
      </c>
      <c r="D11" s="245">
        <v>354306.33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1295865.7</v>
      </c>
      <c r="D12" s="20">
        <f>'DOE25'!L204+'DOE25'!L222+'DOE25'!L240-F12-G12</f>
        <v>1274964.95</v>
      </c>
      <c r="E12" s="244"/>
      <c r="F12" s="256">
        <f>'DOE25'!J204+'DOE25'!J222+'DOE25'!J240</f>
        <v>18420.75</v>
      </c>
      <c r="G12" s="53">
        <f>'DOE25'!K204+'DOE25'!K222+'DOE25'!K240</f>
        <v>2480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281917.84999999998</v>
      </c>
      <c r="D13" s="244"/>
      <c r="E13" s="20">
        <f>'DOE25'!L205+'DOE25'!L223+'DOE25'!L241-F13-G13</f>
        <v>279758.15999999997</v>
      </c>
      <c r="F13" s="256">
        <f>'DOE25'!J205+'DOE25'!J223+'DOE25'!J241</f>
        <v>878.93999999999994</v>
      </c>
      <c r="G13" s="53">
        <f>'DOE25'!K205+'DOE25'!K223+'DOE25'!K241</f>
        <v>1280.75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2605090.63</v>
      </c>
      <c r="D14" s="20">
        <f>'DOE25'!L206+'DOE25'!L224+'DOE25'!L242-F14-G14</f>
        <v>2575017.2899999996</v>
      </c>
      <c r="E14" s="244"/>
      <c r="F14" s="256">
        <f>'DOE25'!J206+'DOE25'!J224+'DOE25'!J242</f>
        <v>29608.97</v>
      </c>
      <c r="G14" s="53">
        <f>'DOE25'!K206+'DOE25'!K224+'DOE25'!K242</f>
        <v>464.37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1041618.09</v>
      </c>
      <c r="D15" s="20">
        <f>'DOE25'!L207+'DOE25'!L225+'DOE25'!L243-F15-G15</f>
        <v>1005960.08</v>
      </c>
      <c r="E15" s="244"/>
      <c r="F15" s="256">
        <f>'DOE25'!J207+'DOE25'!J225+'DOE25'!J243</f>
        <v>35658.009999999995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200644.21</v>
      </c>
      <c r="D22" s="244"/>
      <c r="E22" s="244"/>
      <c r="F22" s="256">
        <f>'DOE25'!L254+'DOE25'!L335</f>
        <v>200644.21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788349.37</v>
      </c>
      <c r="D25" s="244"/>
      <c r="E25" s="244"/>
      <c r="F25" s="259"/>
      <c r="G25" s="257"/>
      <c r="H25" s="258">
        <f>'DOE25'!L259+'DOE25'!L260+'DOE25'!L340+'DOE25'!L341</f>
        <v>788349.37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419782.48000000004</v>
      </c>
      <c r="D29" s="20">
        <f>'DOE25'!L357+'DOE25'!L358+'DOE25'!L359-'DOE25'!I366-F29-G29</f>
        <v>415760.23000000004</v>
      </c>
      <c r="E29" s="244"/>
      <c r="F29" s="256">
        <f>'DOE25'!J357+'DOE25'!J358+'DOE25'!J359</f>
        <v>3915</v>
      </c>
      <c r="G29" s="53">
        <f>'DOE25'!K357+'DOE25'!K358+'DOE25'!K359</f>
        <v>107.25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1641774.5700000005</v>
      </c>
      <c r="D31" s="20">
        <f>'DOE25'!L289+'DOE25'!L308+'DOE25'!L327+'DOE25'!L332+'DOE25'!L333+'DOE25'!L334-F31-G31</f>
        <v>1436354.3500000006</v>
      </c>
      <c r="E31" s="244"/>
      <c r="F31" s="256">
        <f>'DOE25'!J289+'DOE25'!J308+'DOE25'!J327+'DOE25'!J332+'DOE25'!J333+'DOE25'!J334</f>
        <v>202573.54</v>
      </c>
      <c r="G31" s="53">
        <f>'DOE25'!K289+'DOE25'!K308+'DOE25'!K327+'DOE25'!K332+'DOE25'!K333+'DOE25'!K334</f>
        <v>2846.68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24548486.419999998</v>
      </c>
      <c r="E33" s="247">
        <f>SUM(E5:E31)</f>
        <v>341538.47999999986</v>
      </c>
      <c r="F33" s="247">
        <f>SUM(F5:F31)</f>
        <v>757996.28</v>
      </c>
      <c r="G33" s="247">
        <f>SUM(G5:G31)</f>
        <v>42274.590000000004</v>
      </c>
      <c r="H33" s="247">
        <f>SUM(H5:H31)</f>
        <v>788349.37</v>
      </c>
    </row>
    <row r="35" spans="2:8" ht="12" thickBot="1" x14ac:dyDescent="0.25">
      <c r="B35" s="254" t="s">
        <v>847</v>
      </c>
      <c r="D35" s="255">
        <f>E33</f>
        <v>341538.47999999986</v>
      </c>
      <c r="E35" s="250"/>
    </row>
    <row r="36" spans="2:8" ht="12" thickTop="1" x14ac:dyDescent="0.2">
      <c r="B36" t="s">
        <v>815</v>
      </c>
      <c r="D36" s="20">
        <f>D33</f>
        <v>24548486.419999998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view="pageLayout" topLeftCell="A29" zoomScaleNormal="80" workbookViewId="0">
      <selection activeCell="B2" sqref="B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Mountain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-332796.55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2163773.79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634815.43000000005</v>
      </c>
      <c r="D11" s="95">
        <f>'DOE25'!G12</f>
        <v>-12631.76</v>
      </c>
      <c r="E11" s="95">
        <f>'DOE25'!H12</f>
        <v>-662329.62</v>
      </c>
      <c r="F11" s="95">
        <f>'DOE25'!I12</f>
        <v>40145.949999999997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439814.01</v>
      </c>
      <c r="D12" s="95">
        <f>'DOE25'!G13</f>
        <v>14371.25</v>
      </c>
      <c r="E12" s="95">
        <f>'DOE25'!H13</f>
        <v>703676.75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6812.22</v>
      </c>
      <c r="D13" s="95">
        <f>'DOE25'!G14</f>
        <v>51.1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539850.62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1288495.73</v>
      </c>
      <c r="D18" s="41">
        <f>SUM(D8:D17)</f>
        <v>1790.5899999999997</v>
      </c>
      <c r="E18" s="41">
        <f>SUM(E8:E17)</f>
        <v>41347.130000000005</v>
      </c>
      <c r="F18" s="41">
        <f>SUM(F8:F17)</f>
        <v>40145.949999999997</v>
      </c>
      <c r="G18" s="41">
        <f>SUM(G8:G17)</f>
        <v>2163773.79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413588.08</v>
      </c>
      <c r="D23" s="95">
        <f>'DOE25'!G24</f>
        <v>6.96</v>
      </c>
      <c r="E23" s="95">
        <f>'DOE25'!H24</f>
        <v>756.6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1783.63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393399.74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806987.82000000007</v>
      </c>
      <c r="D31" s="41">
        <f>SUM(D21:D30)</f>
        <v>1790.5900000000001</v>
      </c>
      <c r="E31" s="41">
        <f>SUM(E21:E30)</f>
        <v>756.6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483047.53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38755.599999999999</v>
      </c>
      <c r="F46" s="95">
        <f>'DOE25'!I47</f>
        <v>40145.949999999997</v>
      </c>
      <c r="G46" s="95">
        <f>'DOE25'!J47</f>
        <v>2163773.79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1834.93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-1539.62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481507.91000000003</v>
      </c>
      <c r="D49" s="41">
        <f>SUM(D34:D48)</f>
        <v>0</v>
      </c>
      <c r="E49" s="41">
        <f>SUM(E34:E48)</f>
        <v>40590.53</v>
      </c>
      <c r="F49" s="41">
        <f>SUM(F34:F48)</f>
        <v>40145.949999999997</v>
      </c>
      <c r="G49" s="41">
        <f>SUM(G34:G48)</f>
        <v>2163773.79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1288495.73</v>
      </c>
      <c r="D50" s="41">
        <f>D49+D31</f>
        <v>1790.5900000000001</v>
      </c>
      <c r="E50" s="41">
        <f>E49+E31</f>
        <v>41347.129999999997</v>
      </c>
      <c r="F50" s="41">
        <f>F49+F31</f>
        <v>40145.949999999997</v>
      </c>
      <c r="G50" s="41">
        <f>G49+G31</f>
        <v>2163773.79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11914308.08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186805.12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22162.7</v>
      </c>
      <c r="D58" s="95">
        <f>'DOE25'!G95</f>
        <v>0</v>
      </c>
      <c r="E58" s="95">
        <f>'DOE25'!H95</f>
        <v>10095.42</v>
      </c>
      <c r="F58" s="95">
        <f>'DOE25'!I95</f>
        <v>0</v>
      </c>
      <c r="G58" s="95">
        <f>'DOE25'!J95</f>
        <v>20676.990000000002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360486.01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107.26</v>
      </c>
      <c r="D60" s="95">
        <f>SUM('DOE25'!G97:G109)</f>
        <v>0</v>
      </c>
      <c r="E60" s="95">
        <f>SUM('DOE25'!H97:H109)</f>
        <v>25479.48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209075.08000000002</v>
      </c>
      <c r="D61" s="130">
        <f>SUM(D56:D60)</f>
        <v>360486.01</v>
      </c>
      <c r="E61" s="130">
        <f>SUM(E56:E60)</f>
        <v>35574.9</v>
      </c>
      <c r="F61" s="130">
        <f>SUM(F56:F60)</f>
        <v>0</v>
      </c>
      <c r="G61" s="130">
        <f>SUM(G56:G60)</f>
        <v>20676.990000000002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12123383.16</v>
      </c>
      <c r="D62" s="22">
        <f>D55+D61</f>
        <v>360486.01</v>
      </c>
      <c r="E62" s="22">
        <f>E55+E61</f>
        <v>35574.9</v>
      </c>
      <c r="F62" s="22">
        <f>F55+F61</f>
        <v>0</v>
      </c>
      <c r="G62" s="22">
        <f>G55+G61</f>
        <v>20676.990000000002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8741181.3499999996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2435161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7573.65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11183916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560387.86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349559.53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212113.15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20865.91</v>
      </c>
      <c r="D76" s="95">
        <f>SUM('DOE25'!G130:G134)</f>
        <v>7728.77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1142926.45</v>
      </c>
      <c r="D77" s="130">
        <f>SUM(D71:D76)</f>
        <v>7728.77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12326842.449999999</v>
      </c>
      <c r="D80" s="130">
        <f>SUM(D78:D79)+D77+D69</f>
        <v>7728.77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215701.58</v>
      </c>
      <c r="D87" s="95">
        <f>SUM('DOE25'!G152:G160)</f>
        <v>316752.21999999997</v>
      </c>
      <c r="E87" s="95">
        <f>SUM('DOE25'!H152:H160)</f>
        <v>1618783.0699999998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215701.58</v>
      </c>
      <c r="D90" s="131">
        <f>SUM(D84:D89)</f>
        <v>316752.21999999997</v>
      </c>
      <c r="E90" s="131">
        <f>SUM(E84:E89)</f>
        <v>1618783.0699999998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1042452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105345.03</v>
      </c>
      <c r="E95" s="95">
        <f>'DOE25'!H178</f>
        <v>0</v>
      </c>
      <c r="F95" s="95">
        <f>'DOE25'!I178</f>
        <v>0</v>
      </c>
      <c r="G95" s="95">
        <f>'DOE25'!J178</f>
        <v>420286.93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300000</v>
      </c>
      <c r="D98" s="95">
        <f>'DOE25'!G184</f>
        <v>0</v>
      </c>
      <c r="E98" s="95">
        <f>'DOE25'!H184</f>
        <v>0</v>
      </c>
      <c r="F98" s="95">
        <f>'DOE25'!I184</f>
        <v>100000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300000</v>
      </c>
      <c r="D102" s="86">
        <f>SUM(D92:D101)</f>
        <v>105345.03</v>
      </c>
      <c r="E102" s="86">
        <f>SUM(E92:E101)</f>
        <v>0</v>
      </c>
      <c r="F102" s="86">
        <f>SUM(F92:F101)</f>
        <v>1142452</v>
      </c>
      <c r="G102" s="86">
        <f>SUM(G92:G101)</f>
        <v>420286.93</v>
      </c>
    </row>
    <row r="103" spans="1:7" ht="12.75" thickTop="1" thickBot="1" x14ac:dyDescent="0.25">
      <c r="A103" s="33" t="s">
        <v>765</v>
      </c>
      <c r="C103" s="86">
        <f>C62+C80+C90+C102</f>
        <v>24965927.189999998</v>
      </c>
      <c r="D103" s="86">
        <f>D62+D80+D90+D102</f>
        <v>790312.03</v>
      </c>
      <c r="E103" s="86">
        <f>E62+E80+E90+E102</f>
        <v>1654357.9699999997</v>
      </c>
      <c r="F103" s="86">
        <f>F62+F80+F90+F102</f>
        <v>1142452</v>
      </c>
      <c r="G103" s="86">
        <f>G62+G80+G102</f>
        <v>440963.92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8953834.9299999997</v>
      </c>
      <c r="D108" s="24" t="s">
        <v>289</v>
      </c>
      <c r="E108" s="95">
        <f>('DOE25'!L275)+('DOE25'!L294)+('DOE25'!L313)</f>
        <v>842957.58000000007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5278213.16</v>
      </c>
      <c r="D109" s="24" t="s">
        <v>289</v>
      </c>
      <c r="E109" s="95">
        <f>('DOE25'!L276)+('DOE25'!L295)+('DOE25'!L314)</f>
        <v>538339.44000000006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948765.27</v>
      </c>
      <c r="D110" s="24" t="s">
        <v>289</v>
      </c>
      <c r="E110" s="95">
        <f>('DOE25'!L277)+('DOE25'!L296)+('DOE25'!L315)</f>
        <v>33227.599999999999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367179.54999999993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15547992.91</v>
      </c>
      <c r="D114" s="86">
        <f>SUM(D108:D113)</f>
        <v>0</v>
      </c>
      <c r="E114" s="86">
        <f>SUM(E108:E113)</f>
        <v>1414524.62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1143304.17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948398.46</v>
      </c>
      <c r="D118" s="24" t="s">
        <v>289</v>
      </c>
      <c r="E118" s="95">
        <f>+('DOE25'!L281)+('DOE25'!L300)+('DOE25'!L319)</f>
        <v>40056.300000000003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535101.69999999995</v>
      </c>
      <c r="D119" s="24" t="s">
        <v>289</v>
      </c>
      <c r="E119" s="95">
        <f>+('DOE25'!L282)+('DOE25'!L301)+('DOE25'!L320)</f>
        <v>29272.84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1295865.7</v>
      </c>
      <c r="D120" s="24" t="s">
        <v>289</v>
      </c>
      <c r="E120" s="95">
        <f>+('DOE25'!L283)+('DOE25'!L302)+('DOE25'!L321)</f>
        <v>107197.70000000001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281917.84999999998</v>
      </c>
      <c r="D121" s="24" t="s">
        <v>289</v>
      </c>
      <c r="E121" s="95">
        <f>+('DOE25'!L284)+('DOE25'!L303)+('DOE25'!L322)</f>
        <v>38885.33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2605090.63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1041618.09</v>
      </c>
      <c r="D123" s="24" t="s">
        <v>289</v>
      </c>
      <c r="E123" s="95">
        <f>+('DOE25'!L286)+('DOE25'!L305)+('DOE25'!L324)</f>
        <v>11837.779999999999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790312.03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7851296.5999999996</v>
      </c>
      <c r="D127" s="86">
        <f>SUM(D117:D126)</f>
        <v>790312.03</v>
      </c>
      <c r="E127" s="86">
        <f>SUM(E117:E126)</f>
        <v>227249.95000000004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189895.75</v>
      </c>
      <c r="D129" s="24" t="s">
        <v>289</v>
      </c>
      <c r="E129" s="129">
        <f>'DOE25'!L335</f>
        <v>10748.46</v>
      </c>
      <c r="F129" s="129">
        <f>SUM('DOE25'!L373:'DOE25'!L379)</f>
        <v>1670362.3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708490.4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79858.97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400000</v>
      </c>
    </row>
    <row r="134" spans="1:7" x14ac:dyDescent="0.2">
      <c r="A134" t="s">
        <v>233</v>
      </c>
      <c r="B134" s="32" t="s">
        <v>234</v>
      </c>
      <c r="C134" s="95">
        <f>'DOE25'!L262</f>
        <v>105345.03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425646.74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15317.179999999998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-20676.989999999991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1503877.0799999998</v>
      </c>
      <c r="D143" s="141">
        <f>SUM(D129:D142)</f>
        <v>0</v>
      </c>
      <c r="E143" s="141">
        <f>SUM(E129:E142)</f>
        <v>10748.46</v>
      </c>
      <c r="F143" s="141">
        <f>SUM(F129:F142)</f>
        <v>1670362.3</v>
      </c>
      <c r="G143" s="141">
        <f>SUM(G129:G142)</f>
        <v>400000</v>
      </c>
    </row>
    <row r="144" spans="1:7" ht="12.75" thickTop="1" thickBot="1" x14ac:dyDescent="0.25">
      <c r="A144" s="33" t="s">
        <v>244</v>
      </c>
      <c r="C144" s="86">
        <f>(C114+C127+C143)</f>
        <v>24903166.589999996</v>
      </c>
      <c r="D144" s="86">
        <f>(D114+D127+D143)</f>
        <v>790312.03</v>
      </c>
      <c r="E144" s="86">
        <f>(E114+E127+E143)</f>
        <v>1652523.03</v>
      </c>
      <c r="F144" s="86">
        <f>(F114+F127+F143)</f>
        <v>1670362.3</v>
      </c>
      <c r="G144" s="86">
        <f>(G114+G127+G143)</f>
        <v>400000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19</v>
      </c>
      <c r="C150" s="153">
        <f>'DOE25'!G489</f>
        <v>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08/05</v>
      </c>
      <c r="C151" s="152" t="str">
        <f>'DOE25'!G490</f>
        <v>09/10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08/24</v>
      </c>
      <c r="C152" s="152" t="str">
        <f>'DOE25'!G491</f>
        <v>09/15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1911965</v>
      </c>
      <c r="C153" s="137">
        <f>'DOE25'!G492</f>
        <v>3042452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0.05</v>
      </c>
      <c r="C154" s="137">
        <f>'DOE25'!G493</f>
        <v>0.02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1400000</v>
      </c>
      <c r="C155" s="137">
        <f>'DOE25'!G494</f>
        <v>200000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1600000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1042452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1042452</v>
      </c>
    </row>
    <row r="157" spans="1:9" x14ac:dyDescent="0.2">
      <c r="A157" s="22" t="s">
        <v>34</v>
      </c>
      <c r="B157" s="137">
        <f>'DOE25'!F496</f>
        <v>100000</v>
      </c>
      <c r="C157" s="137">
        <f>'DOE25'!G496</f>
        <v>608492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708492</v>
      </c>
    </row>
    <row r="158" spans="1:9" x14ac:dyDescent="0.2">
      <c r="A158" s="22" t="s">
        <v>35</v>
      </c>
      <c r="B158" s="137">
        <f>'DOE25'!F497</f>
        <v>1300000</v>
      </c>
      <c r="C158" s="137">
        <f>'DOE25'!G497</f>
        <v>2433960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3733960</v>
      </c>
    </row>
    <row r="159" spans="1:9" x14ac:dyDescent="0.2">
      <c r="A159" s="22" t="s">
        <v>36</v>
      </c>
      <c r="B159" s="137">
        <f>'DOE25'!F498</f>
        <v>374772.5</v>
      </c>
      <c r="C159" s="137">
        <f>'DOE25'!G498</f>
        <v>239761.77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614534.27</v>
      </c>
    </row>
    <row r="160" spans="1:9" x14ac:dyDescent="0.2">
      <c r="A160" s="22" t="s">
        <v>37</v>
      </c>
      <c r="B160" s="137">
        <f>'DOE25'!F499</f>
        <v>1674772.5</v>
      </c>
      <c r="C160" s="137">
        <f>'DOE25'!G499</f>
        <v>2673721.77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4348494.2699999996</v>
      </c>
    </row>
    <row r="161" spans="1:7" x14ac:dyDescent="0.2">
      <c r="A161" s="22" t="s">
        <v>38</v>
      </c>
      <c r="B161" s="137">
        <f>'DOE25'!F500</f>
        <v>100000</v>
      </c>
      <c r="C161" s="137">
        <f>'DOE25'!G500</f>
        <v>608492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708492</v>
      </c>
    </row>
    <row r="162" spans="1:7" x14ac:dyDescent="0.2">
      <c r="A162" s="22" t="s">
        <v>39</v>
      </c>
      <c r="B162" s="137">
        <f>'DOE25'!F501</f>
        <v>56265</v>
      </c>
      <c r="C162" s="137">
        <f>'DOE25'!G501</f>
        <v>70518.2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126783.2</v>
      </c>
    </row>
    <row r="163" spans="1:7" x14ac:dyDescent="0.2">
      <c r="A163" s="22" t="s">
        <v>246</v>
      </c>
      <c r="B163" s="137">
        <f>'DOE25'!F502</f>
        <v>156265</v>
      </c>
      <c r="C163" s="137">
        <f>'DOE25'!G502</f>
        <v>679010.2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835275.2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 Updated with Auditor Adjustments 9/26/12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Fall Mountain Regional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13944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14520</v>
      </c>
    </row>
    <row r="7" spans="1:4" x14ac:dyDescent="0.2">
      <c r="B7" t="s">
        <v>705</v>
      </c>
      <c r="C7" s="179">
        <f>IF('DOE25'!I664+'DOE25'!I669=0,0,ROUND('DOE25'!I671,0))</f>
        <v>14136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9796793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5816553</v>
      </c>
      <c r="D11" s="182">
        <f>ROUND((C11/$C$28)*100,1)</f>
        <v>22.8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981993</v>
      </c>
      <c r="D12" s="182">
        <f>ROUND((C12/$C$28)*100,1)</f>
        <v>3.8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367180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1143304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988455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564375</v>
      </c>
      <c r="D17" s="182">
        <f t="shared" si="0"/>
        <v>2.2000000000000002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1403063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320803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2605091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1053456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79859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429825.99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25550750.989999998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1871007</v>
      </c>
    </row>
    <row r="30" spans="1:4" x14ac:dyDescent="0.2">
      <c r="B30" s="187" t="s">
        <v>729</v>
      </c>
      <c r="C30" s="180">
        <f>SUM(C28:C29)</f>
        <v>27421757.989999998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708490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11914308</v>
      </c>
      <c r="D35" s="182">
        <f t="shared" ref="D35:D40" si="1">ROUND((C35/$C$41)*100,1)</f>
        <v>44.7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265327.05000000075</v>
      </c>
      <c r="D36" s="182">
        <f t="shared" si="1"/>
        <v>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11183916</v>
      </c>
      <c r="D37" s="182">
        <f t="shared" si="1"/>
        <v>41.9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1150655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2151237</v>
      </c>
      <c r="D39" s="182">
        <f t="shared" si="1"/>
        <v>8.1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26665443.050000001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1042452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Fall Mountain Regional School District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2012-10-01T18:44:47Z</cp:lastPrinted>
  <dcterms:created xsi:type="dcterms:W3CDTF">1997-12-04T19:04:30Z</dcterms:created>
  <dcterms:modified xsi:type="dcterms:W3CDTF">2012-11-21T14:30:02Z</dcterms:modified>
</cp:coreProperties>
</file>