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700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" i="1" l="1"/>
  <c r="F472" i="1"/>
  <c r="F471" i="1"/>
  <c r="F48" i="1" l="1"/>
  <c r="J522" i="1" l="1"/>
  <c r="J520" i="1"/>
  <c r="I522" i="1"/>
  <c r="I520" i="1"/>
  <c r="H522" i="1"/>
  <c r="H520" i="1"/>
  <c r="G522" i="1"/>
  <c r="G520" i="1"/>
  <c r="F520" i="1"/>
  <c r="F118" i="1"/>
  <c r="F56" i="1"/>
  <c r="F117" i="1"/>
  <c r="F494" i="1" l="1"/>
  <c r="C39" i="12" l="1"/>
  <c r="B39" i="12"/>
  <c r="H13" i="1"/>
  <c r="G22" i="1"/>
  <c r="F29" i="1"/>
  <c r="J281" i="1" l="1"/>
  <c r="J233" i="1"/>
  <c r="H594" i="1"/>
  <c r="J596" i="1"/>
  <c r="J594" i="1"/>
  <c r="F28" i="1"/>
  <c r="F24" i="1"/>
  <c r="F14" i="1"/>
  <c r="I319" i="1"/>
  <c r="H319" i="1"/>
  <c r="G319" i="1"/>
  <c r="F319" i="1"/>
  <c r="H318" i="1"/>
  <c r="J314" i="1"/>
  <c r="I314" i="1"/>
  <c r="G314" i="1"/>
  <c r="F314" i="1"/>
  <c r="K343" i="1"/>
  <c r="I281" i="1"/>
  <c r="H281" i="1"/>
  <c r="G281" i="1"/>
  <c r="F281" i="1"/>
  <c r="H280" i="1"/>
  <c r="G280" i="1"/>
  <c r="F280" i="1"/>
  <c r="J276" i="1"/>
  <c r="I276" i="1"/>
  <c r="H276" i="1"/>
  <c r="G276" i="1"/>
  <c r="F276" i="1"/>
  <c r="H367" i="1"/>
  <c r="F367" i="1"/>
  <c r="I359" i="1"/>
  <c r="H359" i="1"/>
  <c r="G359" i="1"/>
  <c r="F359" i="1"/>
  <c r="I357" i="1"/>
  <c r="H357" i="1"/>
  <c r="G357" i="1"/>
  <c r="F357" i="1"/>
  <c r="G243" i="1" l="1"/>
  <c r="F243" i="1"/>
  <c r="I242" i="1"/>
  <c r="H242" i="1"/>
  <c r="G242" i="1"/>
  <c r="F242" i="1"/>
  <c r="I241" i="1"/>
  <c r="I238" i="1"/>
  <c r="H238" i="1"/>
  <c r="G238" i="1"/>
  <c r="F238" i="1"/>
  <c r="I237" i="1"/>
  <c r="G237" i="1"/>
  <c r="F237" i="1"/>
  <c r="G235" i="1"/>
  <c r="F235" i="1"/>
  <c r="I233" i="1"/>
  <c r="H233" i="1"/>
  <c r="G233" i="1"/>
  <c r="F233" i="1"/>
  <c r="H232" i="1"/>
  <c r="G232" i="1"/>
  <c r="F232" i="1"/>
  <c r="G207" i="1"/>
  <c r="F207" i="1"/>
  <c r="I206" i="1"/>
  <c r="H206" i="1"/>
  <c r="G206" i="1"/>
  <c r="F206" i="1"/>
  <c r="I202" i="1"/>
  <c r="H202" i="1"/>
  <c r="G202" i="1"/>
  <c r="F202" i="1"/>
  <c r="I201" i="1"/>
  <c r="H201" i="1"/>
  <c r="G201" i="1"/>
  <c r="F201" i="1"/>
  <c r="G199" i="1"/>
  <c r="F199" i="1"/>
  <c r="H197" i="1"/>
  <c r="G197" i="1"/>
  <c r="F197" i="1"/>
  <c r="H196" i="1"/>
  <c r="G196" i="1"/>
  <c r="F196" i="1"/>
  <c r="H101" i="1"/>
  <c r="H158" i="1"/>
  <c r="H153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C11" i="10" s="1"/>
  <c r="L315" i="1"/>
  <c r="L316" i="1"/>
  <c r="L318" i="1"/>
  <c r="L319" i="1"/>
  <c r="C16" i="10" s="1"/>
  <c r="L320" i="1"/>
  <c r="L321" i="1"/>
  <c r="L322" i="1"/>
  <c r="L323" i="1"/>
  <c r="L324" i="1"/>
  <c r="L325" i="1"/>
  <c r="C17" i="10" s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G660" i="1"/>
  <c r="H660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J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H639" i="1"/>
  <c r="G640" i="1"/>
  <c r="H640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G163" i="2"/>
  <c r="G159" i="2"/>
  <c r="F31" i="2"/>
  <c r="C26" i="10"/>
  <c r="L327" i="1"/>
  <c r="L350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14" i="2"/>
  <c r="G102" i="2"/>
  <c r="E102" i="2"/>
  <c r="C102" i="2"/>
  <c r="D90" i="2"/>
  <c r="F90" i="2"/>
  <c r="E61" i="2"/>
  <c r="E62" i="2" s="1"/>
  <c r="E31" i="2"/>
  <c r="G61" i="2"/>
  <c r="D29" i="13"/>
  <c r="C29" i="13" s="1"/>
  <c r="D19" i="13"/>
  <c r="C19" i="13" s="1"/>
  <c r="D14" i="13"/>
  <c r="C14" i="13" s="1"/>
  <c r="E13" i="13"/>
  <c r="C13" i="13" s="1"/>
  <c r="I433" i="1" l="1"/>
  <c r="G433" i="1"/>
  <c r="K256" i="1"/>
  <c r="K270" i="1" s="1"/>
  <c r="G256" i="1"/>
  <c r="G270" i="1" s="1"/>
  <c r="F31" i="13"/>
  <c r="F661" i="1"/>
  <c r="J641" i="1"/>
  <c r="G570" i="1"/>
  <c r="I191" i="1"/>
  <c r="K433" i="1"/>
  <c r="G133" i="2" s="1"/>
  <c r="G143" i="2" s="1"/>
  <c r="G144" i="2" s="1"/>
  <c r="C31" i="2"/>
  <c r="E143" i="2"/>
  <c r="C114" i="2"/>
  <c r="F544" i="1"/>
  <c r="D50" i="2"/>
  <c r="C18" i="2"/>
  <c r="G31" i="13"/>
  <c r="G33" i="13" s="1"/>
  <c r="C15" i="10"/>
  <c r="I337" i="1"/>
  <c r="I351" i="1" s="1"/>
  <c r="L361" i="1"/>
  <c r="I661" i="1"/>
  <c r="I256" i="1"/>
  <c r="I270" i="1" s="1"/>
  <c r="L210" i="1"/>
  <c r="F659" i="1" s="1"/>
  <c r="F663" i="1" s="1"/>
  <c r="C21" i="10"/>
  <c r="C18" i="10"/>
  <c r="C118" i="2"/>
  <c r="L246" i="1"/>
  <c r="C10" i="10"/>
  <c r="J648" i="1"/>
  <c r="C127" i="2"/>
  <c r="D7" i="13"/>
  <c r="C7" i="13" s="1"/>
  <c r="A22" i="12"/>
  <c r="F139" i="1"/>
  <c r="C61" i="2"/>
  <c r="C62" i="2" s="1"/>
  <c r="C80" i="2"/>
  <c r="C103" i="2" s="1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G544" i="1"/>
  <c r="L544" i="1"/>
  <c r="H544" i="1"/>
  <c r="K550" i="1"/>
  <c r="F143" i="2"/>
  <c r="F144" i="2" s="1"/>
  <c r="K551" i="1" l="1"/>
  <c r="L570" i="1"/>
  <c r="J647" i="1"/>
  <c r="C27" i="10"/>
  <c r="C28" i="10" s="1"/>
  <c r="D25" i="10" s="1"/>
  <c r="G634" i="1"/>
  <c r="J634" i="1" s="1"/>
  <c r="L256" i="1"/>
  <c r="L270" i="1" s="1"/>
  <c r="G631" i="1" s="1"/>
  <c r="J631" i="1" s="1"/>
  <c r="H659" i="1"/>
  <c r="H663" i="1" s="1"/>
  <c r="J270" i="1"/>
  <c r="H192" i="1"/>
  <c r="G628" i="1" s="1"/>
  <c r="J628" i="1" s="1"/>
  <c r="C36" i="10"/>
  <c r="C38" i="10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D13" i="10" l="1"/>
  <c r="H671" i="1"/>
  <c r="C6" i="10" s="1"/>
  <c r="H666" i="1"/>
  <c r="D10" i="10"/>
  <c r="D20" i="10"/>
  <c r="D18" i="10"/>
  <c r="D26" i="10"/>
  <c r="D23" i="10"/>
  <c r="D11" i="10"/>
  <c r="D22" i="10"/>
  <c r="D15" i="10"/>
  <c r="D21" i="10"/>
  <c r="D12" i="10"/>
  <c r="D16" i="10"/>
  <c r="D19" i="10"/>
  <c r="C30" i="10"/>
  <c r="D17" i="10"/>
  <c r="D24" i="10"/>
  <c r="D27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/>
  <c r="D28" i="10" l="1"/>
  <c r="D36" i="10"/>
  <c r="D35" i="10"/>
  <c r="D38" i="10"/>
  <c r="D40" i="10"/>
  <c r="D37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<sst xmlns="http://schemas.openxmlformats.org/spreadsheetml/2006/main" count="3945" uniqueCount="912">
  <si>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</si>
  <si>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</si>
  <si>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</si>
  <si>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</si>
  <si>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</si>
  <si>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</si>
  <si>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</si>
  <si>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</si>
  <si>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</si>
  <si>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</si>
  <si>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</si>
  <si>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</si>
  <si>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</si>
  <si>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</si>
  <si>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</si>
  <si>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</si>
  <si>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</si>
  <si>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</si>
  <si>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</si>
  <si>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</si>
  <si>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</si>
  <si>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</si>
  <si>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</si>
  <si>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</si>
  <si>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</si>
  <si>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</si>
  <si>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</si>
  <si>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</si>
  <si>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</si>
  <si>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</si>
  <si>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</si>
  <si>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</si>
  <si>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</si>
  <si>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</si>
  <si>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</si>
  <si>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</si>
  <si>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</si>
  <si>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</si>
  <si>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</si>
  <si>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</si>
  <si>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</si>
  <si>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</si>
  <si>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</si>
  <si>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</si>
  <si>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</si>
  <si>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</si>
  <si>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</si>
  <si>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</si>
  <si>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</si>
  <si>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</si>
  <si>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</si>
  <si>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</si>
  <si>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</si>
  <si>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</si>
  <si>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</si>
  <si>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</si>
  <si>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</si>
  <si>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</si>
  <si>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</si>
  <si>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</si>
  <si>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</si>
  <si>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</si>
  <si>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</si>
  <si>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</si>
  <si>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</si>
  <si>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</si>
  <si>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</si>
  <si>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</si>
  <si>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</si>
  <si>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</si>
  <si>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</si>
  <si>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</si>
  <si>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</si>
  <si>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</si>
  <si>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</si>
  <si>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</si>
  <si>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</si>
  <si>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</si>
  <si>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</si>
  <si>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</si>
  <si>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</si>
  <si>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</si>
  <si>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</si>
  <si>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</si>
  <si>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</si>
  <si>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</si>
  <si>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</si>
  <si>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</si>
  <si>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</si>
  <si>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</si>
  <si>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</si>
  <si>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</si>
  <si>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</si>
  <si>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</si>
  <si>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</si>
  <si>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</si>
  <si>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</si>
  <si>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</si>
  <si>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</si>
  <si>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</si>
  <si>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</si>
  <si>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</si>
  <si>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</si>
  <si>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</si>
  <si>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</si>
  <si>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</si>
  <si>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</si>
  <si>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</si>
  <si>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</si>
  <si>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</si>
  <si>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</si>
  <si>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</si>
  <si>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</si>
  <si>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</si>
  <si>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</si>
  <si>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</si>
  <si>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</si>
  <si>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</si>
  <si>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</si>
  <si>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</si>
  <si>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</si>
  <si>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</si>
  <si>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</si>
  <si>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</si>
  <si>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</si>
  <si>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</si>
  <si>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</si>
  <si>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</si>
  <si>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</si>
  <si>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</si>
  <si>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</si>
  <si>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</si>
  <si>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</si>
  <si>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</si>
  <si>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</si>
  <si>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</si>
  <si>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</si>
  <si>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</si>
  <si>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</si>
  <si>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</si>
  <si>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</si>
  <si>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</si>
  <si>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</si>
  <si>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</si>
  <si>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</si>
  <si>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</si>
  <si>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</si>
  <si>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</si>
  <si>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</si>
  <si>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</si>
  <si>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</si>
  <si>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</si>
  <si>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</si>
  <si>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</si>
  <si>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</si>
  <si>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</si>
  <si>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</si>
  <si>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</si>
  <si>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</si>
  <si>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</si>
  <si>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</si>
  <si>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</si>
  <si>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</si>
  <si>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</si>
  <si>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</si>
  <si>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</si>
  <si>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</si>
  <si>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</si>
  <si>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</si>
  <si>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</si>
  <si>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</si>
  <si>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</si>
  <si>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</si>
  <si>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</si>
  <si>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</si>
  <si>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</si>
  <si>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</si>
  <si>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</si>
  <si>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</si>
  <si>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</si>
  <si>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</si>
  <si>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</si>
  <si>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</si>
  <si>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</si>
  <si>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</si>
  <si>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</si>
  <si>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</si>
  <si>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</si>
  <si>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</si>
  <si>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</si>
  <si>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</si>
  <si>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</si>
  <si>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</si>
  <si>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</si>
  <si>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</si>
  <si>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</si>
  <si>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</si>
  <si>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</si>
  <si>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</si>
  <si>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</si>
  <si>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</si>
  <si>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</si>
  <si>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</si>
  <si>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</si>
  <si>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</si>
  <si>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</si>
  <si>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</si>
  <si>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</si>
  <si>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</si>
  <si>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</si>
  <si>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</si>
  <si>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</si>
  <si>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</si>
  <si>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</si>
  <si>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</si>
  <si>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</si>
  <si>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</si>
  <si>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</si>
  <si>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</si>
  <si>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</si>
  <si>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</si>
  <si>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</si>
  <si>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</si>
  <si>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</si>
  <si>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</si>
  <si>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</si>
  <si>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</si>
  <si>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</si>
  <si>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</si>
  <si>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</si>
  <si>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</si>
  <si>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</si>
  <si>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</si>
  <si>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</si>
  <si>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</si>
  <si>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</si>
  <si>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</si>
  <si>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</si>
  <si>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</si>
  <si>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</si>
  <si>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</si>
  <si>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</si>
  <si>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</si>
  <si>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</si>
  <si>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</si>
  <si>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</si>
  <si>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</si>
  <si>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</si>
  <si>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</si>
  <si>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</si>
  <si>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</si>
  <si>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</si>
  <si>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</si>
  <si>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</si>
  <si>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</si>
  <si>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</si>
  <si>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</si>
  <si>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</si>
  <si>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</si>
  <si>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</si>
  <si>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</si>
  <si>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</si>
  <si>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</si>
  <si>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</si>
  <si>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</si>
  <si>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</si>
  <si>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</si>
  <si>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</si>
  <si>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</si>
  <si>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</si>
  <si>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</si>
  <si>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</si>
  <si>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</si>
  <si>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</si>
  <si>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</si>
  <si>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</si>
  <si>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</si>
  <si>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</si>
  <si>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</si>
  <si>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</si>
  <si>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</si>
  <si>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</si>
  <si>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</si>
  <si>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</si>
  <si>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</si>
  <si>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</si>
  <si>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</si>
  <si>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</si>
  <si>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</si>
  <si>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</si>
  <si>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</si>
  <si>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</si>
  <si>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</si>
  <si>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</si>
  <si>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</si>
  <si>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</si>
  <si>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</si>
  <si>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</si>
  <si>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</si>
  <si>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</si>
  <si>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</si>
  <si>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</si>
  <si>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</si>
  <si>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</si>
  <si>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</si>
  <si>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</si>
  <si>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</si>
  <si>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</si>
  <si>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</si>
  <si>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</si>
  <si>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</si>
  <si>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</si>
  <si>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</si>
  <si>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</si>
  <si>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</si>
  <si>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</si>
  <si>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</si>
  <si>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</si>
  <si>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</si>
  <si>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</si>
  <si>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</si>
  <si>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</si>
  <si>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</si>
  <si>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</si>
  <si>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</si>
  <si>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</si>
  <si>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</si>
  <si>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</si>
  <si>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</si>
  <si>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</si>
  <si>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</si>
  <si>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</si>
  <si>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</si>
  <si>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</si>
  <si>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</si>
  <si>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</si>
  <si>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</si>
  <si>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</si>
  <si>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</si>
  <si>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</si>
  <si>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</si>
  <si>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</si>
  <si>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</si>
  <si>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</si>
  <si>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</si>
  <si>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</si>
  <si>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</si>
  <si>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</si>
  <si>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</si>
  <si>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</si>
  <si>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</si>
  <si>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</si>
  <si>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</si>
  <si>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</si>
  <si>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</si>
  <si>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</si>
  <si>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</si>
  <si>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</si>
  <si>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</si>
  <si>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</si>
  <si>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</si>
  <si>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</si>
  <si>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</si>
  <si>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</si>
  <si>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</si>
  <si>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</si>
  <si>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</si>
  <si>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</si>
  <si>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</si>
  <si>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</si>
  <si>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</si>
  <si>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</si>
  <si>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</si>
  <si>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</si>
  <si>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</si>
  <si>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</si>
  <si>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</si>
  <si>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</si>
  <si>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</si>
  <si>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</si>
  <si>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</si>
  <si>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</si>
  <si>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</si>
  <si>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</si>
  <si>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</si>
  <si>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</si>
  <si>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</si>
  <si>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</si>
  <si>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</si>
  <si>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</si>
  <si>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</si>
  <si>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</si>
  <si>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</si>
  <si>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</si>
  <si>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</si>
  <si>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</si>
  <si>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</si>
  <si>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</si>
  <si>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</si>
  <si>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</si>
  <si>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</si>
  <si>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</si>
  <si>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</si>
  <si>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</si>
  <si>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</si>
  <si>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</si>
  <si>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</si>
  <si>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</si>
  <si>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</si>
  <si>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</si>
  <si>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</si>
  <si>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</si>
  <si>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</si>
  <si>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</si>
  <si>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</si>
  <si>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</si>
  <si>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</si>
  <si>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</si>
  <si>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</si>
  <si>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</si>
  <si>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</si>
  <si>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</si>
  <si>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</si>
  <si>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</si>
  <si>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</si>
  <si>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</si>
  <si>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</si>
  <si>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</si>
  <si>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</si>
  <si>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</si>
  <si>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</si>
  <si>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</si>
  <si>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</si>
  <si>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</si>
  <si>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</si>
  <si>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</si>
  <si>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</si>
  <si>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</si>
  <si>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</si>
  <si>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</si>
  <si>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</si>
  <si>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</si>
  <si>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</si>
  <si>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</si>
  <si>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</si>
  <si>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</si>
  <si>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</si>
  <si>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</si>
  <si>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</si>
  <si>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</si>
  <si>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</si>
  <si>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</si>
  <si>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</si>
  <si>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</si>
  <si>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</si>
  <si>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</si>
  <si>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</si>
  <si>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</si>
  <si>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</si>
  <si>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</si>
  <si>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</si>
  <si>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</si>
  <si>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</si>
  <si>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</si>
  <si>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</si>
  <si>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</si>
  <si>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</si>
  <si>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</si>
  <si>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</si>
  <si>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</si>
  <si>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</si>
  <si>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</si>
  <si>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</si>
  <si>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</si>
  <si>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</si>
  <si>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</si>
  <si>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</si>
  <si>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</si>
  <si>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</si>
  <si>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</si>
  <si>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</si>
  <si>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</si>
  <si>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</si>
  <si>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</si>
  <si>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</si>
  <si>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</si>
  <si>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</si>
  <si>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</si>
  <si>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</si>
  <si>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</si>
  <si>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</si>
  <si>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</si>
  <si>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</si>
  <si>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</si>
  <si>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</si>
  <si>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</si>
  <si>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</si>
  <si>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</si>
  <si>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</si>
  <si>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</si>
  <si>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</si>
  <si>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</si>
  <si>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</si>
  <si>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</si>
  <si>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</si>
  <si>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</si>
  <si>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</si>
  <si>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</si>
  <si>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</si>
  <si>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</si>
  <si>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</si>
  <si>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</si>
  <si>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</si>
  <si>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</si>
  <si>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</si>
  <si>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</si>
  <si>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</si>
  <si>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</si>
  <si>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</si>
  <si>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</si>
  <si>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</si>
  <si>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</si>
  <si>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</si>
  <si>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</si>
  <si>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</si>
  <si>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</si>
  <si>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</si>
  <si>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</si>
  <si>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</si>
  <si>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</si>
  <si>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</si>
  <si>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</si>
  <si>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</si>
  <si>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</si>
  <si>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</si>
  <si>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</si>
  <si>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</si>
  <si>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</si>
  <si>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</si>
  <si>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</si>
  <si>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</si>
  <si>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</si>
  <si>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</si>
  <si>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</si>
  <si>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</si>
  <si>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</si>
  <si>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</si>
  <si>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</si>
  <si>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</si>
  <si>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</si>
  <si>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</si>
  <si>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</si>
  <si>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</si>
  <si>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</si>
  <si>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</si>
  <si>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</si>
  <si>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</si>
  <si>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</si>
  <si>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</si>
  <si>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</si>
  <si>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</si>
  <si>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</si>
  <si>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</si>
  <si>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</si>
  <si>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</si>
  <si>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</si>
  <si>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</si>
  <si>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</si>
  <si>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</si>
  <si>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</si>
  <si>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</si>
  <si>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</si>
  <si>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</si>
  <si>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</si>
  <si>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</si>
  <si>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</si>
  <si>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</si>
  <si>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</si>
  <si>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</si>
  <si>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</si>
  <si>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</si>
  <si>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</si>
  <si>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</si>
  <si>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</si>
  <si>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</si>
  <si>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</si>
  <si>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</si>
  <si>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</si>
  <si>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</si>
  <si>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</si>
  <si>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</si>
  <si>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</si>
  <si>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</si>
  <si>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</si>
  <si>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</si>
  <si>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</si>
  <si>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</si>
  <si>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</si>
  <si>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</si>
  <si>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</si>
  <si>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</si>
  <si>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</si>
  <si>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</si>
  <si>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</si>
  <si>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</si>
  <si>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</si>
  <si>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</si>
  <si>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</si>
  <si>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</si>
  <si>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</si>
  <si>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</si>
  <si>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</si>
  <si>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</si>
  <si>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</si>
  <si>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</si>
  <si>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</si>
  <si>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</si>
  <si>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</si>
  <si>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</si>
  <si>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</si>
  <si>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</si>
  <si>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</si>
  <si>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</si>
  <si>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</si>
  <si>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</si>
  <si>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</si>
  <si>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</si>
  <si>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</si>
  <si>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</si>
  <si>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</si>
  <si>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</si>
  <si>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</si>
  <si>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</si>
  <si>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</si>
  <si>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</si>
  <si>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</si>
  <si>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</si>
  <si>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</si>
  <si>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</si>
  <si>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</si>
  <si>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</si>
  <si>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</si>
  <si>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</si>
  <si>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</si>
  <si>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</si>
  <si>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</si>
  <si>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</si>
  <si>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</si>
  <si>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</si>
  <si>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</si>
  <si>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</si>
  <si>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</si>
  <si>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</si>
  <si>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</si>
  <si>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</si>
  <si>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</si>
  <si>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</si>
  <si>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</si>
  <si>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</si>
  <si>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</si>
  <si>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</si>
  <si>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</si>
  <si>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</si>
  <si>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</si>
  <si>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</si>
  <si>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</si>
  <si>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</si>
  <si>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</si>
  <si>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</si>
  <si>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</si>
  <si>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</si>
  <si>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</si>
  <si>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</si>
  <si>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</si>
  <si>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</si>
  <si>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</si>
  <si>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</si>
  <si>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</si>
  <si>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</si>
  <si>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</si>
  <si>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</si>
  <si>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</si>
  <si>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</si>
  <si>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</si>
  <si>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</si>
  <si>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</si>
  <si>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</si>
  <si>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</si>
  <si>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</si>
  <si>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</si>
  <si>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</si>
  <si>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</si>
  <si>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</si>
  <si>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</si>
  <si>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</si>
  <si>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</si>
  <si>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</si>
  <si>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</si>
  <si>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</si>
  <si>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</si>
  <si>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</si>
  <si>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</si>
  <si>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</si>
  <si>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</si>
  <si>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</si>
  <si>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</si>
  <si>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</si>
  <si>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</si>
  <si>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</si>
  <si>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</si>
  <si>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</si>
  <si>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</si>
  <si>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</si>
  <si>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</si>
  <si>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</si>
  <si>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</si>
  <si>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</si>
  <si>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</si>
  <si>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</si>
  <si>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</si>
  <si>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</si>
  <si>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</si>
  <si>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</si>
  <si>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</si>
  <si>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</si>
  <si>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</si>
  <si>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</si>
  <si>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</si>
  <si>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</si>
  <si>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</si>
  <si>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</si>
  <si>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</si>
  <si>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</si>
  <si>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</si>
  <si>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</si>
  <si>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</si>
  <si>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</si>
  <si>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</si>
  <si>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</si>
  <si>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</si>
  <si>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</si>
  <si>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</si>
  <si>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</si>
  <si>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</si>
  <si>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</si>
  <si>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</si>
  <si>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</si>
  <si>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</si>
  <si>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</si>
  <si>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</si>
  <si>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</si>
  <si>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</si>
  <si>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</si>
  <si>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</si>
  <si>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</si>
  <si>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</si>
  <si>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</si>
  <si>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</si>
  <si>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</si>
  <si>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</si>
  <si>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</si>
  <si>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</si>
  <si>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</si>
  <si>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</si>
  <si>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</si>
  <si>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</si>
  <si>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</si>
  <si>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</si>
  <si>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</si>
  <si>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</si>
  <si>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</si>
  <si>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</si>
  <si>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</si>
  <si>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</si>
  <si>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</si>
  <si>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</si>
  <si>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</si>
  <si>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</si>
  <si>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</si>
  <si>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</si>
  <si>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</si>
  <si>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</si>
  <si>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</si>
  <si>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</si>
  <si>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</si>
  <si>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</si>
  <si>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</si>
  <si>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</si>
  <si>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</si>
  <si>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</si>
  <si>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</si>
  <si>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</si>
  <si>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</si>
  <si>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</si>
  <si>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</si>
  <si>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</si>
  <si>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</si>
  <si>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</si>
  <si>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</si>
  <si>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</si>
  <si>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</si>
  <si>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</si>
  <si>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</si>
  <si>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</si>
  <si>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</si>
  <si>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</si>
  <si>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</si>
  <si>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</si>
  <si>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</si>
  <si>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</si>
  <si>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</si>
  <si>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</si>
  <si>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</si>
  <si>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</si>
  <si>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</si>
  <si>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</si>
  <si>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</si>
  <si>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</si>
  <si>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</si>
  <si>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</si>
  <si>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</si>
  <si>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</si>
  <si>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</si>
  <si>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</si>
  <si>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</si>
  <si>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</si>
  <si>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</si>
  <si>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</si>
  <si>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</si>
  <si>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</si>
  <si>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</si>
  <si>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</si>
  <si>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</si>
  <si>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</si>
  <si>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</si>
  <si>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</si>
  <si>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</si>
  <si>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</si>
  <si>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</si>
  <si>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</si>
  <si>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</si>
  <si>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</si>
  <si>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</si>
  <si>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</si>
  <si>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</si>
  <si>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</si>
  <si>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</si>
  <si>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</si>
  <si>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</si>
  <si>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</si>
  <si>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</si>
  <si>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</si>
  <si>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</si>
  <si>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</si>
  <si>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</si>
  <si>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</si>
  <si>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</si>
  <si>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</si>
  <si>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</si>
  <si>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</si>
  <si>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</si>
  <si>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</si>
  <si>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</si>
  <si>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</si>
  <si>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</si>
  <si>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</si>
  <si>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</si>
  <si>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</si>
  <si>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</si>
  <si>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</si>
  <si>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</si>
  <si>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</si>
  <si>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</si>
  <si>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</si>
  <si>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</si>
  <si>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</si>
  <si>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</si>
  <si>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</si>
  <si>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</si>
  <si>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</si>
  <si>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</si>
  <si>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</si>
  <si>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</si>
  <si>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</si>
  <si>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</si>
  <si>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</si>
  <si>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</si>
  <si>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</si>
  <si>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</si>
  <si>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</si>
  <si>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</si>
  <si>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</si>
  <si>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</si>
  <si>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</si>
  <si>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</si>
  <si>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</si>
  <si>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</si>
  <si>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</si>
  <si>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</si>
  <si>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</si>
  <si>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</si>
  <si>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</si>
  <si>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</si>
  <si>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</si>
  <si>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</si>
  <si>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</si>
  <si>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</si>
  <si>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</si>
  <si>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</si>
  <si>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08/02</t>
  </si>
  <si>
    <t>08/11</t>
  </si>
  <si>
    <t>Farmington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</si>
</sst>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.0500000000000007"/>
      <color indexed="8"/>
      <name val="Times New Roman"/>
      <family val="1"/>
    </font>
    <font>
      <sz val="10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38" fillId="0" borderId="0"/>
    <xf numFmtId="0" fontId="38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7" fontId="37" fillId="0" borderId="0" xfId="0" applyNumberFormat="1" applyFont="1" applyAlignment="1" applyProtection="1">
      <alignment horizontal="right" vertical="center"/>
      <protection locked="0"/>
    </xf>
    <xf numFmtId="7" fontId="37" fillId="0" borderId="0" xfId="0" applyNumberFormat="1" applyFont="1" applyFill="1" applyBorder="1" applyAlignment="1" applyProtection="1">
      <alignment horizontal="right" vertical="center"/>
      <protection locked="0"/>
    </xf>
    <xf numFmtId="7" fontId="0" fillId="0" borderId="0" xfId="0" applyNumberFormat="1" applyFill="1" applyBorder="1" applyAlignment="1" applyProtection="1">
      <protection locked="0"/>
    </xf>
    <xf numFmtId="7" fontId="38" fillId="0" borderId="0" xfId="1" applyNumberFormat="1" applyFill="1" applyBorder="1" applyAlignment="1" applyProtection="1">
      <protection locked="0"/>
    </xf>
    <xf numFmtId="39" fontId="0" fillId="0" borderId="0" xfId="0" applyNumberFormat="1" applyFill="1" applyBorder="1" applyAlignment="1" applyProtection="1">
      <protection locked="0"/>
    </xf>
    <xf numFmtId="39" fontId="38" fillId="0" borderId="0" xfId="2" applyNumberFormat="1" applyFill="1" applyBorder="1" applyAlignme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2" zoomScaleNormal="82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175</v>
      </c>
      <c r="C2" s="21">
        <v>175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383705.58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269816.51+72455</f>
        <v>342271.51</v>
      </c>
      <c r="G12" s="18">
        <v>-9430.5400000000009</v>
      </c>
      <c r="H12" s="18"/>
      <c r="I12" s="18"/>
      <c r="J12" s="67">
        <f>SUM(I440)</f>
        <v>100000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1296403.82</v>
      </c>
      <c r="G13" s="18"/>
      <c r="H13" s="18">
        <f>-141332.76+206581.66</f>
        <v>65248.899999999994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175282.59+1745.96</f>
        <v>177028.55</v>
      </c>
      <c r="G14" s="18">
        <v>16743.04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2199409.46</v>
      </c>
      <c r="G19" s="41">
        <f>SUM(G9:G18)</f>
        <v>7312.5</v>
      </c>
      <c r="H19" s="41">
        <f>SUM(H9:H18)</f>
        <v>65248.899999999994</v>
      </c>
      <c r="I19" s="41">
        <f>SUM(I9:I18)</f>
        <v>0</v>
      </c>
      <c r="J19" s="41">
        <f>SUM(J9:J18)</f>
        <v>100000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150000</v>
      </c>
      <c r="G22" s="18">
        <f>81.79</f>
        <v>81.790000000000006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453738.82+19325.53</f>
        <v>473064.35</v>
      </c>
      <c r="G24" s="18">
        <v>3768.11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27025.88+1127386.96</f>
        <v>1154412.8399999999</v>
      </c>
      <c r="G28" s="18"/>
      <c r="H28" s="18">
        <v>62112.55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-22902.25-33101.76</f>
        <v>-56004.01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3419.54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>
        <v>3136.35</v>
      </c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1721473.18</v>
      </c>
      <c r="G32" s="41">
        <f>SUM(G22:G31)</f>
        <v>7269.4400000000005</v>
      </c>
      <c r="H32" s="41">
        <f>SUM(H22:H31)</f>
        <v>65248.9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100000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f>226094.47-100000</f>
        <v>126094.47</v>
      </c>
      <c r="G48" s="18">
        <v>43.06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251841.81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477936.28</v>
      </c>
      <c r="G50" s="41">
        <f>SUM(G35:G49)</f>
        <v>43.06</v>
      </c>
      <c r="H50" s="41">
        <f>SUM(H35:H49)</f>
        <v>0</v>
      </c>
      <c r="I50" s="41">
        <f>SUM(I35:I49)</f>
        <v>0</v>
      </c>
      <c r="J50" s="41">
        <f>SUM(J35:J49)</f>
        <v>100000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2199409.46</v>
      </c>
      <c r="G51" s="41">
        <f>G50+G32</f>
        <v>7312.5000000000009</v>
      </c>
      <c r="H51" s="41">
        <f>H50+H32</f>
        <v>65248.9</v>
      </c>
      <c r="I51" s="41">
        <f>I50+I32</f>
        <v>0</v>
      </c>
      <c r="J51" s="41">
        <f>J50+J32</f>
        <v>100000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3798397+16035</f>
        <v>3814432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3814432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473.58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3152306.55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3152780.13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16635.61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16635.61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444.88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182865.32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106.06+89</f>
        <v>195.06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1798.76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7508.91</v>
      </c>
      <c r="G109" s="18">
        <v>348.98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9927.5499999999993</v>
      </c>
      <c r="G110" s="41">
        <f>SUM(G95:G109)</f>
        <v>183214.30000000002</v>
      </c>
      <c r="H110" s="41">
        <f>SUM(H95:H109)</f>
        <v>195.06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6993775.29</v>
      </c>
      <c r="G111" s="41">
        <f>G59+G110</f>
        <v>183214.30000000002</v>
      </c>
      <c r="H111" s="41">
        <f>H59+H78+H93+H110</f>
        <v>195.06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6832335.2400000002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1105429-16035</f>
        <v>1089394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177406.92-171487.16</f>
        <v>5919.7600000000093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7927649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373817.05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152744.15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4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3890.54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7014.99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530451.74</v>
      </c>
      <c r="G135" s="41">
        <f>SUM(G122:G134)</f>
        <v>7014.99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8458100.7400000002</v>
      </c>
      <c r="G139" s="41">
        <f>G120+SUM(G135:G136)</f>
        <v>7014.99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171487.16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171487.16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>
        <v>176640.01</v>
      </c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846250.11+62493.07</f>
        <v>908743.17999999993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121831.44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277003.78999999998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298095.5+98794.52</f>
        <v>396890.02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188077.34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52738.16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188077.34</v>
      </c>
      <c r="G161" s="41">
        <f>SUM(G149:G160)</f>
        <v>277003.78999999998</v>
      </c>
      <c r="H161" s="41">
        <f>SUM(H149:H160)</f>
        <v>1656842.8099999998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359564.5</v>
      </c>
      <c r="G168" s="41">
        <f>G146+G161+SUM(G162:G167)</f>
        <v>277003.78999999998</v>
      </c>
      <c r="H168" s="41">
        <f>H146+H161+SUM(H162:H167)</f>
        <v>1656842.8099999998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69555.77</v>
      </c>
      <c r="H178" s="18"/>
      <c r="I178" s="18"/>
      <c r="J178" s="18">
        <v>100000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107313.47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107313.47</v>
      </c>
      <c r="G182" s="41">
        <f>SUM(G178:G181)</f>
        <v>69555.77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107313.47</v>
      </c>
      <c r="G191" s="41">
        <f>G182+SUM(G187:G190)</f>
        <v>69555.77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15918754.000000002</v>
      </c>
      <c r="G192" s="47">
        <f>G111+G139+G168+G191</f>
        <v>536788.85</v>
      </c>
      <c r="H192" s="47">
        <f>H111+H139+H168+H191</f>
        <v>1657037.8699999999</v>
      </c>
      <c r="I192" s="47">
        <f>I111+I139+I168+I191</f>
        <v>0</v>
      </c>
      <c r="J192" s="47">
        <f>J111+J139+J191</f>
        <v>100000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271">
        <f>2479270.04+15906.34</f>
        <v>2495176.38</v>
      </c>
      <c r="G196" s="271">
        <f>851612.11+2920.35</f>
        <v>854532.46</v>
      </c>
      <c r="H196" s="271">
        <f>49903.88+1530</f>
        <v>51433.88</v>
      </c>
      <c r="I196" s="271">
        <v>82982.790000000008</v>
      </c>
      <c r="J196" s="271">
        <v>6132.77</v>
      </c>
      <c r="K196" s="18"/>
      <c r="L196" s="19">
        <f>SUM(F196:K196)</f>
        <v>3490258.28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271">
        <f>1657975+39377.44</f>
        <v>1697352.44</v>
      </c>
      <c r="G197" s="271">
        <f>370256.58+11938.62</f>
        <v>382195.20000000001</v>
      </c>
      <c r="H197" s="271">
        <f>597536.21+42741.3</f>
        <v>640277.51</v>
      </c>
      <c r="I197" s="271">
        <v>9025.48</v>
      </c>
      <c r="J197" s="271">
        <v>1707.96</v>
      </c>
      <c r="K197" s="18">
        <v>5449.02</v>
      </c>
      <c r="L197" s="19">
        <f>SUM(F197:K197)</f>
        <v>2736007.61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271">
        <f>136385.82+1122</f>
        <v>137507.82</v>
      </c>
      <c r="G199" s="271">
        <f>32144.38+93.94</f>
        <v>32238.32</v>
      </c>
      <c r="H199" s="271">
        <v>4550</v>
      </c>
      <c r="I199" s="271">
        <v>3639.4700000000003</v>
      </c>
      <c r="J199" s="18"/>
      <c r="K199" s="18"/>
      <c r="L199" s="19">
        <f>SUM(F199:K199)</f>
        <v>177935.61000000002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271">
        <f>290067.45+165758.13</f>
        <v>455825.58</v>
      </c>
      <c r="G201" s="271">
        <f>110741.91+73467.01</f>
        <v>184208.91999999998</v>
      </c>
      <c r="H201" s="271">
        <f>430+95889.29</f>
        <v>96319.29</v>
      </c>
      <c r="I201" s="271">
        <f>1715.32+4182.08</f>
        <v>5897.4</v>
      </c>
      <c r="J201" s="18">
        <v>607.82000000000005</v>
      </c>
      <c r="K201" s="18">
        <v>583.1</v>
      </c>
      <c r="L201" s="19">
        <f t="shared" ref="L201:L207" si="0">SUM(F201:K201)</f>
        <v>743442.11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271">
        <f>145244.98+863.1</f>
        <v>146108.08000000002</v>
      </c>
      <c r="G202" s="271">
        <f>69615.54+291.77</f>
        <v>69907.31</v>
      </c>
      <c r="H202" s="271">
        <f>16134.34+4280.14</f>
        <v>20414.48</v>
      </c>
      <c r="I202" s="271">
        <f>13594.77+12027.5</f>
        <v>25622.27</v>
      </c>
      <c r="J202" s="18"/>
      <c r="K202" s="271">
        <v>1505.49</v>
      </c>
      <c r="L202" s="19">
        <f t="shared" si="0"/>
        <v>263557.63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42829.05</v>
      </c>
      <c r="G203" s="18">
        <v>11617.39</v>
      </c>
      <c r="H203" s="18">
        <v>627170.11</v>
      </c>
      <c r="I203" s="18">
        <v>3352.6</v>
      </c>
      <c r="J203" s="18"/>
      <c r="K203" s="18">
        <v>3871.18</v>
      </c>
      <c r="L203" s="19">
        <f t="shared" si="0"/>
        <v>688840.33000000007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271">
        <v>368990.93999999994</v>
      </c>
      <c r="G204" s="271">
        <v>149253.49999999997</v>
      </c>
      <c r="H204" s="271">
        <v>23569.17</v>
      </c>
      <c r="I204" s="271">
        <v>5181.4799999999996</v>
      </c>
      <c r="J204" s="18"/>
      <c r="K204" s="271">
        <v>769</v>
      </c>
      <c r="L204" s="19">
        <f t="shared" si="0"/>
        <v>547764.09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>
        <v>1197.98</v>
      </c>
      <c r="J205" s="18"/>
      <c r="K205" s="18">
        <v>908.65</v>
      </c>
      <c r="L205" s="19">
        <f t="shared" si="0"/>
        <v>2106.63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271">
        <f>246749.48+63300.53</f>
        <v>310050.01</v>
      </c>
      <c r="G206" s="271">
        <f>101102.44+34193.19</f>
        <v>135295.63</v>
      </c>
      <c r="H206" s="271">
        <f>109222.39+48065.51</f>
        <v>157287.9</v>
      </c>
      <c r="I206" s="271">
        <f>288056.56+14564.83</f>
        <v>302621.39</v>
      </c>
      <c r="J206" s="271">
        <v>15172.92</v>
      </c>
      <c r="K206" s="18"/>
      <c r="L206" s="19">
        <f t="shared" si="0"/>
        <v>920427.85000000009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271">
        <f>5975.37+143644.78</f>
        <v>149620.15</v>
      </c>
      <c r="G207" s="271">
        <f>689.21+55354.84</f>
        <v>56044.049999999996</v>
      </c>
      <c r="H207" s="18">
        <v>98259.63</v>
      </c>
      <c r="I207" s="18">
        <v>41584.85</v>
      </c>
      <c r="J207" s="18">
        <v>2408.83</v>
      </c>
      <c r="K207" s="18">
        <v>588.88</v>
      </c>
      <c r="L207" s="19">
        <f t="shared" si="0"/>
        <v>348506.38999999996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76258.460000000006</v>
      </c>
      <c r="G208" s="18">
        <v>39622.129999999997</v>
      </c>
      <c r="H208" s="18">
        <v>26446.47</v>
      </c>
      <c r="I208" s="18">
        <v>18896.060000000001</v>
      </c>
      <c r="J208" s="18">
        <v>1617.79</v>
      </c>
      <c r="K208" s="18">
        <v>34</v>
      </c>
      <c r="L208" s="19">
        <f>SUM(F208:K208)</f>
        <v>162874.91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5879718.9099999992</v>
      </c>
      <c r="G210" s="41">
        <f t="shared" si="1"/>
        <v>1914914.91</v>
      </c>
      <c r="H210" s="41">
        <f t="shared" si="1"/>
        <v>1745728.4399999997</v>
      </c>
      <c r="I210" s="41">
        <f t="shared" si="1"/>
        <v>500001.77</v>
      </c>
      <c r="J210" s="41">
        <f t="shared" si="1"/>
        <v>27648.090000000004</v>
      </c>
      <c r="K210" s="41">
        <f t="shared" si="1"/>
        <v>13709.32</v>
      </c>
      <c r="L210" s="41">
        <f t="shared" si="1"/>
        <v>10081721.440000001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271">
        <f>1284553.08+7485.34</f>
        <v>1292038.4200000002</v>
      </c>
      <c r="G232" s="271">
        <f>438534.97+1374.28</f>
        <v>439909.25</v>
      </c>
      <c r="H232" s="271">
        <f>41472.06+720</f>
        <v>42192.06</v>
      </c>
      <c r="I232" s="271">
        <v>64426.990000000005</v>
      </c>
      <c r="J232" s="271">
        <v>2243.21</v>
      </c>
      <c r="K232" s="18"/>
      <c r="L232" s="19">
        <f>SUM(F232:K232)</f>
        <v>1840809.9300000002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271">
        <f>470763.68+18530.56</f>
        <v>489294.24</v>
      </c>
      <c r="G233" s="271">
        <f>124004.96+5618.17</f>
        <v>129623.13</v>
      </c>
      <c r="H233" s="271">
        <f>546412.63+20113.56</f>
        <v>566526.19000000006</v>
      </c>
      <c r="I233" s="271">
        <f>2591.04</f>
        <v>2591.04</v>
      </c>
      <c r="J233" s="271">
        <f>322</f>
        <v>322</v>
      </c>
      <c r="K233" s="18">
        <v>2564.2399999999998</v>
      </c>
      <c r="L233" s="19">
        <f>SUM(F233:K233)</f>
        <v>1190920.8400000001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271">
        <v>20812.91</v>
      </c>
      <c r="I234" s="18"/>
      <c r="J234" s="18"/>
      <c r="K234" s="18"/>
      <c r="L234" s="19">
        <f>SUM(F234:K234)</f>
        <v>20812.91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271">
        <f>74732.75+528</f>
        <v>75260.75</v>
      </c>
      <c r="G235" s="271">
        <f>8518.47+44.2</f>
        <v>8562.67</v>
      </c>
      <c r="H235" s="271">
        <v>23444.25</v>
      </c>
      <c r="I235" s="271">
        <v>11185.12</v>
      </c>
      <c r="J235" s="18"/>
      <c r="K235" s="271">
        <v>2000</v>
      </c>
      <c r="L235" s="19">
        <f>SUM(F235:K235)</f>
        <v>120452.79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271">
        <f>165676.89+78003.83</f>
        <v>243680.72000000003</v>
      </c>
      <c r="G237" s="271">
        <f>41424.64+34572.71</f>
        <v>75997.350000000006</v>
      </c>
      <c r="H237" s="18">
        <v>45124.37</v>
      </c>
      <c r="I237" s="271">
        <f>628.94+1968.04</f>
        <v>2596.98</v>
      </c>
      <c r="J237" s="18">
        <v>286.02999999999997</v>
      </c>
      <c r="K237" s="18">
        <v>274.39999999999998</v>
      </c>
      <c r="L237" s="19">
        <f t="shared" ref="L237:L243" si="4">SUM(F237:K237)</f>
        <v>367959.85000000009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271">
        <f>56845.38+406.16</f>
        <v>57251.54</v>
      </c>
      <c r="G238" s="271">
        <f>35747.55+137.31</f>
        <v>35884.86</v>
      </c>
      <c r="H238" s="271">
        <f>5794.16+2014.19</f>
        <v>7808.35</v>
      </c>
      <c r="I238" s="271">
        <f>13243.72+5660</f>
        <v>18903.72</v>
      </c>
      <c r="J238" s="271"/>
      <c r="K238" s="271">
        <v>383.82</v>
      </c>
      <c r="L238" s="19">
        <f t="shared" si="4"/>
        <v>120232.29000000001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20154.84</v>
      </c>
      <c r="G239" s="18">
        <v>5467</v>
      </c>
      <c r="H239" s="18">
        <v>295138.87</v>
      </c>
      <c r="I239" s="18">
        <v>1577.7</v>
      </c>
      <c r="J239" s="18"/>
      <c r="K239" s="18">
        <v>1821.73</v>
      </c>
      <c r="L239" s="19">
        <f t="shared" si="4"/>
        <v>324160.14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271">
        <v>218597.47000000003</v>
      </c>
      <c r="G240" s="271">
        <v>122910.24000000002</v>
      </c>
      <c r="H240" s="271">
        <v>15389.429999999998</v>
      </c>
      <c r="I240" s="271">
        <v>4420.37</v>
      </c>
      <c r="J240" s="271">
        <v>3309</v>
      </c>
      <c r="K240" s="271">
        <v>4116.33</v>
      </c>
      <c r="L240" s="19">
        <f t="shared" si="4"/>
        <v>368742.84000000008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>
        <f>171.2+392.56</f>
        <v>563.76</v>
      </c>
      <c r="J241" s="18"/>
      <c r="K241" s="18">
        <v>427.6</v>
      </c>
      <c r="L241" s="19">
        <f t="shared" si="4"/>
        <v>991.36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271">
        <f>127871.68+29788.49</f>
        <v>157660.16999999998</v>
      </c>
      <c r="G242" s="271">
        <f>68391.79+16090.91</f>
        <v>84482.7</v>
      </c>
      <c r="H242" s="271">
        <f>85100.43+22619.06</f>
        <v>107719.48999999999</v>
      </c>
      <c r="I242" s="271">
        <f>136868.24+6854.04</f>
        <v>143722.28</v>
      </c>
      <c r="J242" s="271">
        <v>5210.99</v>
      </c>
      <c r="K242" s="18"/>
      <c r="L242" s="19">
        <f t="shared" si="4"/>
        <v>498795.63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271">
        <f>42354.68+67597.54</f>
        <v>109952.22</v>
      </c>
      <c r="G243" s="271">
        <f>5101.01+26049.33</f>
        <v>31150.340000000004</v>
      </c>
      <c r="H243" s="18">
        <v>46239.82</v>
      </c>
      <c r="I243" s="18">
        <v>19569.34</v>
      </c>
      <c r="J243" s="18">
        <v>1133.56</v>
      </c>
      <c r="K243" s="18">
        <v>277.12</v>
      </c>
      <c r="L243" s="19">
        <f t="shared" si="4"/>
        <v>208322.4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35886.339999999997</v>
      </c>
      <c r="G244" s="18">
        <v>18645.71</v>
      </c>
      <c r="H244" s="18">
        <v>12445.4</v>
      </c>
      <c r="I244" s="18">
        <v>8892.26</v>
      </c>
      <c r="J244" s="18">
        <v>761.32</v>
      </c>
      <c r="K244" s="18">
        <v>16</v>
      </c>
      <c r="L244" s="19">
        <f>SUM(F244:K244)</f>
        <v>76647.03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2699776.7100000004</v>
      </c>
      <c r="G246" s="41">
        <f t="shared" si="5"/>
        <v>952633.24999999988</v>
      </c>
      <c r="H246" s="41">
        <f t="shared" si="5"/>
        <v>1182841.1399999999</v>
      </c>
      <c r="I246" s="41">
        <f t="shared" si="5"/>
        <v>278449.56</v>
      </c>
      <c r="J246" s="41">
        <f t="shared" si="5"/>
        <v>13266.109999999999</v>
      </c>
      <c r="K246" s="41">
        <f t="shared" si="5"/>
        <v>11881.24</v>
      </c>
      <c r="L246" s="41">
        <f t="shared" si="5"/>
        <v>5138848.0100000016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272">
        <v>80355</v>
      </c>
      <c r="I254" s="18"/>
      <c r="J254" s="18"/>
      <c r="K254" s="18"/>
      <c r="L254" s="19">
        <f t="shared" si="6"/>
        <v>80355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80355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80355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8579495.6199999992</v>
      </c>
      <c r="G256" s="41">
        <f t="shared" si="8"/>
        <v>2867548.1599999997</v>
      </c>
      <c r="H256" s="41">
        <f t="shared" si="8"/>
        <v>3008924.5799999996</v>
      </c>
      <c r="I256" s="41">
        <f t="shared" si="8"/>
        <v>778451.33000000007</v>
      </c>
      <c r="J256" s="41">
        <f t="shared" si="8"/>
        <v>40914.200000000004</v>
      </c>
      <c r="K256" s="41">
        <f t="shared" si="8"/>
        <v>25590.559999999998</v>
      </c>
      <c r="L256" s="41">
        <f t="shared" si="8"/>
        <v>15300924.450000003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71">
        <v>765000</v>
      </c>
      <c r="L259" s="19">
        <f>SUM(F259:K259)</f>
        <v>765000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271">
        <v>17212.5</v>
      </c>
      <c r="L260" s="19">
        <f>SUM(F260:K260)</f>
        <v>17212.5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71">
        <v>69555.77</v>
      </c>
      <c r="L262" s="19">
        <f>SUM(F262:K262)</f>
        <v>69555.77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951768.27</v>
      </c>
      <c r="L269" s="41">
        <f t="shared" si="9"/>
        <v>951768.27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8579495.6199999992</v>
      </c>
      <c r="G270" s="42">
        <f t="shared" si="11"/>
        <v>2867548.1599999997</v>
      </c>
      <c r="H270" s="42">
        <f t="shared" si="11"/>
        <v>3008924.5799999996</v>
      </c>
      <c r="I270" s="42">
        <f t="shared" si="11"/>
        <v>778451.33000000007</v>
      </c>
      <c r="J270" s="42">
        <f t="shared" si="11"/>
        <v>40914.200000000004</v>
      </c>
      <c r="K270" s="42">
        <f t="shared" si="11"/>
        <v>977358.83000000007</v>
      </c>
      <c r="L270" s="42">
        <f t="shared" si="11"/>
        <v>16252692.720000003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1978.8</v>
      </c>
      <c r="I275" s="18"/>
      <c r="J275" s="18">
        <v>6701.11</v>
      </c>
      <c r="K275" s="18"/>
      <c r="L275" s="19">
        <f>SUM(F275:K275)</f>
        <v>8679.91</v>
      </c>
      <c r="M275" s="8"/>
    </row>
    <row r="276" spans="1:13" s="3" customFormat="1" ht="12" customHeight="1" x14ac:dyDescent="0.2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274">
        <f>402923.28+14670.12</f>
        <v>417593.4</v>
      </c>
      <c r="G276" s="274">
        <f>94099.26+2314.38</f>
        <v>96413.64</v>
      </c>
      <c r="H276" s="274">
        <f>1393.63+44294.35</f>
        <v>45687.979999999996</v>
      </c>
      <c r="I276" s="274">
        <f>5650.28+17114.36</f>
        <v>22764.639999999999</v>
      </c>
      <c r="J276" s="274">
        <f>4713.74+12357.5</f>
        <v>17071.239999999998</v>
      </c>
      <c r="K276" s="18"/>
      <c r="L276" s="19">
        <f>SUM(F276:K276)</f>
        <v>599530.9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7406.59</v>
      </c>
      <c r="G278" s="18">
        <v>709.42</v>
      </c>
      <c r="H278" s="18"/>
      <c r="I278" s="18">
        <v>44622.15</v>
      </c>
      <c r="J278" s="18"/>
      <c r="K278" s="18"/>
      <c r="L278" s="19">
        <f>SUM(F278:K278)</f>
        <v>52738.16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2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274">
        <f>21247.05+37111.34</f>
        <v>58358.39</v>
      </c>
      <c r="G280" s="274">
        <f>1839.58+14354.13</f>
        <v>16193.71</v>
      </c>
      <c r="H280" s="274">
        <f>2533.09+7513.49</f>
        <v>10046.58</v>
      </c>
      <c r="I280" s="274">
        <v>1428.74</v>
      </c>
      <c r="J280" s="18"/>
      <c r="K280" s="18"/>
      <c r="L280" s="19">
        <f t="shared" ref="L280:L286" si="12">SUM(F280:K280)</f>
        <v>86027.420000000013</v>
      </c>
      <c r="M280" s="8"/>
    </row>
    <row r="281" spans="1:13" s="3" customFormat="1" ht="12" customHeight="1" x14ac:dyDescent="0.2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274">
        <f>61746.56+1414.4</f>
        <v>63160.959999999999</v>
      </c>
      <c r="G281" s="274">
        <f>11938.11+274.52</f>
        <v>12212.630000000001</v>
      </c>
      <c r="H281" s="274">
        <f>244491.44+44973.16+1178.79</f>
        <v>290643.38999999996</v>
      </c>
      <c r="I281" s="274">
        <f>4384.11+88.42</f>
        <v>4472.53</v>
      </c>
      <c r="J281" s="274">
        <f>16270</f>
        <v>16270</v>
      </c>
      <c r="K281" s="18">
        <v>34</v>
      </c>
      <c r="L281" s="19">
        <f t="shared" si="12"/>
        <v>386793.51</v>
      </c>
      <c r="M281" s="8"/>
    </row>
    <row r="282" spans="1:13" s="3" customFormat="1" ht="12" customHeight="1" x14ac:dyDescent="0.2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274">
        <v>63362.59</v>
      </c>
      <c r="G282" s="274">
        <v>21094.11</v>
      </c>
      <c r="H282" s="18">
        <v>918</v>
      </c>
      <c r="I282" s="18"/>
      <c r="J282" s="18"/>
      <c r="K282" s="18">
        <v>35.01</v>
      </c>
      <c r="L282" s="19">
        <f t="shared" si="12"/>
        <v>85409.709999999992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>
        <v>8330</v>
      </c>
      <c r="I283" s="18"/>
      <c r="J283" s="18"/>
      <c r="K283" s="18"/>
      <c r="L283" s="19">
        <f t="shared" si="12"/>
        <v>8330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609881.93000000005</v>
      </c>
      <c r="G289" s="42">
        <f t="shared" si="13"/>
        <v>146623.51</v>
      </c>
      <c r="H289" s="42">
        <f t="shared" si="13"/>
        <v>357604.74999999994</v>
      </c>
      <c r="I289" s="42">
        <f t="shared" si="13"/>
        <v>73288.060000000012</v>
      </c>
      <c r="J289" s="42">
        <f t="shared" si="13"/>
        <v>40042.35</v>
      </c>
      <c r="K289" s="42">
        <f t="shared" si="13"/>
        <v>69.009999999999991</v>
      </c>
      <c r="L289" s="41">
        <f t="shared" si="13"/>
        <v>1227509.6100000001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2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274"/>
      <c r="G313" s="274"/>
      <c r="H313" s="18">
        <v>931.2</v>
      </c>
      <c r="I313" s="274"/>
      <c r="J313" s="18">
        <v>3153.47</v>
      </c>
      <c r="K313" s="18"/>
      <c r="L313" s="19">
        <f>SUM(F313:K313)</f>
        <v>4084.67</v>
      </c>
      <c r="M313" s="8"/>
    </row>
    <row r="314" spans="1:13" s="3" customFormat="1" ht="12" customHeight="1" x14ac:dyDescent="0.2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274">
        <f>41245.25+6903.58</f>
        <v>48148.83</v>
      </c>
      <c r="G314" s="274">
        <f>3345.14+1089.12</f>
        <v>4434.26</v>
      </c>
      <c r="H314" s="18">
        <v>20844.400000000001</v>
      </c>
      <c r="I314" s="274">
        <f>2750.8+8053.82</f>
        <v>10804.619999999999</v>
      </c>
      <c r="J314" s="274">
        <f>1066.99+5815.3</f>
        <v>6882.29</v>
      </c>
      <c r="K314" s="18"/>
      <c r="L314" s="19">
        <f>SUM(F314:K314)</f>
        <v>91114.4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2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17464.16</v>
      </c>
      <c r="G318" s="18">
        <v>6754.89</v>
      </c>
      <c r="H318" s="274">
        <f>1500+3535.76</f>
        <v>5035.76</v>
      </c>
      <c r="I318" s="18"/>
      <c r="J318" s="18"/>
      <c r="K318" s="18"/>
      <c r="L318" s="19">
        <f t="shared" ref="L318:L324" si="16">SUM(F318:K318)</f>
        <v>29254.809999999998</v>
      </c>
      <c r="M318" s="8"/>
    </row>
    <row r="319" spans="1:13" s="3" customFormat="1" ht="12" customHeight="1" x14ac:dyDescent="0.2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274">
        <f>20232+665.6</f>
        <v>20897.599999999999</v>
      </c>
      <c r="G319" s="274">
        <f>3820.15+129.19</f>
        <v>3949.34</v>
      </c>
      <c r="H319" s="274">
        <f>129220.74+21163.84+554.72</f>
        <v>150939.30000000002</v>
      </c>
      <c r="I319" s="274">
        <f>1093.39+41.61</f>
        <v>1135</v>
      </c>
      <c r="J319" s="18"/>
      <c r="K319" s="18">
        <v>16</v>
      </c>
      <c r="L319" s="19">
        <f t="shared" si="16"/>
        <v>176937.24000000002</v>
      </c>
      <c r="M319" s="8"/>
    </row>
    <row r="320" spans="1:13" s="3" customFormat="1" ht="12" customHeight="1" x14ac:dyDescent="0.2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274">
        <v>32399.98</v>
      </c>
      <c r="G320" s="274">
        <v>6176.89</v>
      </c>
      <c r="H320" s="18">
        <v>432</v>
      </c>
      <c r="I320" s="18"/>
      <c r="J320" s="18"/>
      <c r="K320" s="18">
        <v>16.48</v>
      </c>
      <c r="L320" s="19">
        <f t="shared" si="16"/>
        <v>39025.350000000006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>
        <v>3920</v>
      </c>
      <c r="I325" s="18"/>
      <c r="J325" s="18"/>
      <c r="K325" s="18"/>
      <c r="L325" s="19">
        <f>SUM(F325:K325)</f>
        <v>3920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118910.56999999999</v>
      </c>
      <c r="G327" s="42">
        <f t="shared" si="17"/>
        <v>21315.38</v>
      </c>
      <c r="H327" s="42">
        <f t="shared" si="17"/>
        <v>182102.66000000003</v>
      </c>
      <c r="I327" s="42">
        <f t="shared" si="17"/>
        <v>11939.619999999999</v>
      </c>
      <c r="J327" s="42">
        <f t="shared" si="17"/>
        <v>10035.76</v>
      </c>
      <c r="K327" s="42">
        <f t="shared" si="17"/>
        <v>32.480000000000004</v>
      </c>
      <c r="L327" s="41">
        <f t="shared" si="17"/>
        <v>344336.47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2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274">
        <v>119291.49</v>
      </c>
      <c r="G332" s="274">
        <v>28632.58</v>
      </c>
      <c r="H332" s="274">
        <v>33436.980000000003</v>
      </c>
      <c r="I332" s="274">
        <v>1749.98</v>
      </c>
      <c r="J332" s="18"/>
      <c r="K332" s="274">
        <v>1400.44</v>
      </c>
      <c r="L332" s="19">
        <f t="shared" si="18"/>
        <v>184511.47000000003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119291.49</v>
      </c>
      <c r="G336" s="41">
        <f t="shared" si="19"/>
        <v>28632.58</v>
      </c>
      <c r="H336" s="41">
        <f t="shared" si="19"/>
        <v>33436.980000000003</v>
      </c>
      <c r="I336" s="41">
        <f t="shared" si="19"/>
        <v>1749.98</v>
      </c>
      <c r="J336" s="41">
        <f t="shared" si="19"/>
        <v>0</v>
      </c>
      <c r="K336" s="41">
        <f t="shared" si="19"/>
        <v>1400.44</v>
      </c>
      <c r="L336" s="41">
        <f t="shared" si="18"/>
        <v>184511.47000000003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848083.99</v>
      </c>
      <c r="G337" s="41">
        <f t="shared" si="20"/>
        <v>196571.47000000003</v>
      </c>
      <c r="H337" s="41">
        <f t="shared" si="20"/>
        <v>573144.3899999999</v>
      </c>
      <c r="I337" s="41">
        <f t="shared" si="20"/>
        <v>86977.66</v>
      </c>
      <c r="J337" s="41">
        <f t="shared" si="20"/>
        <v>50078.11</v>
      </c>
      <c r="K337" s="41">
        <f t="shared" si="20"/>
        <v>1501.93</v>
      </c>
      <c r="L337" s="41">
        <f t="shared" si="20"/>
        <v>1756357.55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2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74">
        <f>11879.34+20090.87+75291.77</f>
        <v>107261.98000000001</v>
      </c>
      <c r="L343" s="19">
        <f t="shared" ref="L343:L349" si="21">SUM(F343:K343)</f>
        <v>107261.98000000001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107261.98000000001</v>
      </c>
      <c r="L350" s="41">
        <f>SUM(L340:L349)</f>
        <v>107261.98000000001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848083.99</v>
      </c>
      <c r="G351" s="41">
        <f>G337</f>
        <v>196571.47000000003</v>
      </c>
      <c r="H351" s="41">
        <f>H337</f>
        <v>573144.3899999999</v>
      </c>
      <c r="I351" s="41">
        <f>I337</f>
        <v>86977.66</v>
      </c>
      <c r="J351" s="41">
        <f>J337</f>
        <v>50078.11</v>
      </c>
      <c r="K351" s="47">
        <f>K337+K350</f>
        <v>108763.91</v>
      </c>
      <c r="L351" s="41">
        <f>L337+L350</f>
        <v>1863619.53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273">
        <f>116117.2+27793.86</f>
        <v>143911.06</v>
      </c>
      <c r="G357" s="273">
        <f>22059.84+17790.74</f>
        <v>39850.58</v>
      </c>
      <c r="H357" s="273">
        <f>6614.35+621.27</f>
        <v>7235.6200000000008</v>
      </c>
      <c r="I357" s="273">
        <f>167679.34+1948.02</f>
        <v>169627.36</v>
      </c>
      <c r="J357" s="18"/>
      <c r="K357" s="18">
        <v>72.930000000000007</v>
      </c>
      <c r="L357" s="13">
        <f>SUM(F357:K357)</f>
        <v>360697.55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2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273">
        <f>54286.71+13079.46</f>
        <v>67366.17</v>
      </c>
      <c r="G359" s="273">
        <f>7256.38+8372.12</f>
        <v>15628.5</v>
      </c>
      <c r="H359" s="273">
        <f>4467.16+292.36</f>
        <v>4759.5199999999995</v>
      </c>
      <c r="I359" s="273">
        <f>87343.01+916.72</f>
        <v>88259.73</v>
      </c>
      <c r="J359" s="18"/>
      <c r="K359" s="18">
        <v>34.32</v>
      </c>
      <c r="L359" s="19">
        <f>SUM(F359:K359)</f>
        <v>176048.24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211277.22999999998</v>
      </c>
      <c r="G361" s="47">
        <f t="shared" si="22"/>
        <v>55479.08</v>
      </c>
      <c r="H361" s="47">
        <f t="shared" si="22"/>
        <v>11995.14</v>
      </c>
      <c r="I361" s="47">
        <f t="shared" si="22"/>
        <v>257887.08999999997</v>
      </c>
      <c r="J361" s="47">
        <f t="shared" si="22"/>
        <v>0</v>
      </c>
      <c r="K361" s="47">
        <f t="shared" si="22"/>
        <v>107.25</v>
      </c>
      <c r="L361" s="47">
        <f t="shared" si="22"/>
        <v>536745.79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2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273">
        <v>151254.62999999998</v>
      </c>
      <c r="G366" s="18"/>
      <c r="H366" s="273">
        <v>78289.52</v>
      </c>
      <c r="I366" s="56">
        <f>SUM(F366:H366)</f>
        <v>229544.14999999997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5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273">
        <f>16424.71+1948.02</f>
        <v>18372.73</v>
      </c>
      <c r="G367" s="63"/>
      <c r="H367" s="273">
        <f>9053.49+916.72</f>
        <v>9970.2099999999991</v>
      </c>
      <c r="I367" s="56">
        <f>SUM(F367:H367)</f>
        <v>28342.94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169627.36</v>
      </c>
      <c r="G368" s="47">
        <f>SUM(G366:G367)</f>
        <v>0</v>
      </c>
      <c r="H368" s="47">
        <f>SUM(H366:H367)</f>
        <v>88259.73000000001</v>
      </c>
      <c r="I368" s="47">
        <f>SUM(I366:I367)</f>
        <v>257887.08999999997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/>
      <c r="I395" s="18"/>
      <c r="J395" s="24" t="s">
        <v>289</v>
      </c>
      <c r="K395" s="24" t="s">
        <v>289</v>
      </c>
      <c r="L395" s="56">
        <f t="shared" si="26"/>
        <v>50000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/>
      <c r="I396" s="18"/>
      <c r="J396" s="24" t="s">
        <v>289</v>
      </c>
      <c r="K396" s="24" t="s">
        <v>289</v>
      </c>
      <c r="L396" s="56">
        <f t="shared" si="26"/>
        <v>50000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100000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100000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100000</v>
      </c>
      <c r="H440" s="18"/>
      <c r="I440" s="56">
        <f t="shared" si="33"/>
        <v>100000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100000</v>
      </c>
      <c r="H445" s="13">
        <f>SUM(H438:H444)</f>
        <v>0</v>
      </c>
      <c r="I445" s="13">
        <f>SUM(I438:I444)</f>
        <v>100000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100000</v>
      </c>
      <c r="H458" s="18"/>
      <c r="I458" s="56">
        <f t="shared" si="34"/>
        <v>100000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100000</v>
      </c>
      <c r="H459" s="83">
        <f>SUM(H453:H458)</f>
        <v>0</v>
      </c>
      <c r="I459" s="83">
        <f>SUM(I453:I458)</f>
        <v>100000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100000</v>
      </c>
      <c r="H460" s="42">
        <f>H451+H459</f>
        <v>0</v>
      </c>
      <c r="I460" s="42">
        <f>I451+I459</f>
        <v>100000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1127765.9100000001</v>
      </c>
      <c r="G464" s="18">
        <v>81.790000000037253</v>
      </c>
      <c r="H464" s="18">
        <v>0</v>
      </c>
      <c r="I464" s="18">
        <v>0</v>
      </c>
      <c r="J464" s="18">
        <v>0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15918754</v>
      </c>
      <c r="G467" s="18">
        <v>536788.85</v>
      </c>
      <c r="H467" s="18">
        <v>1657037.87</v>
      </c>
      <c r="I467" s="18"/>
      <c r="J467" s="18">
        <v>100000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v>206581.66</v>
      </c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15918754</v>
      </c>
      <c r="G469" s="53">
        <f>SUM(G467:G468)</f>
        <v>536788.85</v>
      </c>
      <c r="H469" s="53">
        <f>SUM(H467:H468)</f>
        <v>1863619.53</v>
      </c>
      <c r="I469" s="53">
        <f>SUM(I467:I468)</f>
        <v>0</v>
      </c>
      <c r="J469" s="53">
        <f>SUM(J467:J468)</f>
        <v>100000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16152692.72+100000</f>
        <v>16252692.720000001</v>
      </c>
      <c r="G471" s="18">
        <v>536745.79</v>
      </c>
      <c r="H471" s="18">
        <v>1863619.53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126094.47+89796.44+100000</f>
        <v>315890.91000000003</v>
      </c>
      <c r="G472" s="18">
        <v>81.790000000000006</v>
      </c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16568583.630000001</v>
      </c>
      <c r="G473" s="53">
        <f>SUM(G471:G472)</f>
        <v>536827.58000000007</v>
      </c>
      <c r="H473" s="53">
        <f>SUM(H471:H472)</f>
        <v>1863619.53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477936.27999999933</v>
      </c>
      <c r="G475" s="53">
        <f>(G464+G469)- G473</f>
        <v>43.059999999939464</v>
      </c>
      <c r="H475" s="53">
        <f>(H464+H469)- H473</f>
        <v>0</v>
      </c>
      <c r="I475" s="53">
        <f>(I464+I469)- I473</f>
        <v>0</v>
      </c>
      <c r="J475" s="53">
        <f>(J464+J469)- J473</f>
        <v>100000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7650000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4.38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3060000-765000-765000</f>
        <v>1530000</v>
      </c>
      <c r="G494" s="18"/>
      <c r="H494" s="18"/>
      <c r="I494" s="18"/>
      <c r="J494" s="18"/>
      <c r="K494" s="53">
        <f>SUM(F494:J494)</f>
        <v>1530000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765000</v>
      </c>
      <c r="G496" s="18"/>
      <c r="H496" s="18"/>
      <c r="I496" s="18"/>
      <c r="J496" s="18"/>
      <c r="K496" s="53">
        <f t="shared" si="35"/>
        <v>765000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276">
        <f>1697352.44+417593.4</f>
        <v>2114945.84</v>
      </c>
      <c r="G520" s="276">
        <f>382195.2+96413.64</f>
        <v>478608.84</v>
      </c>
      <c r="H520" s="276">
        <f>640277.51+45687.98</f>
        <v>685965.49</v>
      </c>
      <c r="I520" s="276">
        <f>9025.48+22764.64</f>
        <v>31790.12</v>
      </c>
      <c r="J520" s="276">
        <f>1707.96+17071.24</f>
        <v>18779.2</v>
      </c>
      <c r="K520" s="276">
        <v>5449.0168000000003</v>
      </c>
      <c r="L520" s="88">
        <f>SUM(F520:K520)</f>
        <v>3335538.5068000001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276">
        <v>537443.06999999995</v>
      </c>
      <c r="G522" s="276">
        <f>129623.13+4434.26</f>
        <v>134057.39000000001</v>
      </c>
      <c r="H522" s="276">
        <f>566526.19+20844.4</f>
        <v>587370.59</v>
      </c>
      <c r="I522" s="276">
        <f>2591.04+10804.62</f>
        <v>13395.66</v>
      </c>
      <c r="J522" s="276">
        <f>322+6882.29</f>
        <v>7204.29</v>
      </c>
      <c r="K522" s="276">
        <v>2564.2432000000003</v>
      </c>
      <c r="L522" s="88">
        <f>SUM(F522:K522)</f>
        <v>1282035.2431999997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2652388.9099999997</v>
      </c>
      <c r="G523" s="108">
        <f t="shared" ref="G523:L523" si="36">SUM(G520:G522)</f>
        <v>612666.23</v>
      </c>
      <c r="H523" s="108">
        <f t="shared" si="36"/>
        <v>1273336.08</v>
      </c>
      <c r="I523" s="108">
        <f t="shared" si="36"/>
        <v>45185.78</v>
      </c>
      <c r="J523" s="108">
        <f t="shared" si="36"/>
        <v>25983.49</v>
      </c>
      <c r="K523" s="108">
        <f t="shared" si="36"/>
        <v>8013.26</v>
      </c>
      <c r="L523" s="89">
        <f t="shared" si="36"/>
        <v>4617573.75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2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275">
        <v>217317.46680000002</v>
      </c>
      <c r="G525" s="275">
        <v>89072.057600000015</v>
      </c>
      <c r="H525" s="275">
        <v>104804.66</v>
      </c>
      <c r="I525" s="275">
        <v>5153.6248000000005</v>
      </c>
      <c r="J525" s="276">
        <v>607.8180000000001</v>
      </c>
      <c r="K525" s="276">
        <v>583.1</v>
      </c>
      <c r="L525" s="88">
        <f>SUM(F525:K525)</f>
        <v>417538.72720000002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5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275">
        <v>102267.0432</v>
      </c>
      <c r="G527" s="275">
        <v>41916.262400000007</v>
      </c>
      <c r="H527" s="275">
        <v>49319.840000000004</v>
      </c>
      <c r="I527" s="275">
        <v>2425.2352000000001</v>
      </c>
      <c r="J527" s="276">
        <v>286.03200000000004</v>
      </c>
      <c r="K527" s="276">
        <v>274.40000000000003</v>
      </c>
      <c r="L527" s="88">
        <f>SUM(F527:K527)</f>
        <v>196488.81280000001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319584.51</v>
      </c>
      <c r="G528" s="89">
        <f t="shared" ref="G528:L528" si="37">SUM(G525:G527)</f>
        <v>130988.32000000002</v>
      </c>
      <c r="H528" s="89">
        <f t="shared" si="37"/>
        <v>154124.5</v>
      </c>
      <c r="I528" s="89">
        <f t="shared" si="37"/>
        <v>7578.8600000000006</v>
      </c>
      <c r="J528" s="89">
        <f t="shared" si="37"/>
        <v>893.85000000000014</v>
      </c>
      <c r="K528" s="89">
        <f t="shared" si="37"/>
        <v>857.5</v>
      </c>
      <c r="L528" s="89">
        <f t="shared" si="37"/>
        <v>614027.54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2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275">
        <v>96325.814799999993</v>
      </c>
      <c r="G530" s="275">
        <v>29252.002000000004</v>
      </c>
      <c r="H530" s="18"/>
      <c r="I530" s="275">
        <v>3264.0000000000005</v>
      </c>
      <c r="J530" s="18"/>
      <c r="K530" s="18"/>
      <c r="L530" s="88">
        <f>SUM(F530:K530)</f>
        <v>128841.8168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5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275">
        <v>45329.795199999993</v>
      </c>
      <c r="G532" s="275">
        <v>13765.648000000001</v>
      </c>
      <c r="H532" s="18"/>
      <c r="I532" s="275">
        <v>1536</v>
      </c>
      <c r="J532" s="18"/>
      <c r="K532" s="18"/>
      <c r="L532" s="88">
        <f>SUM(F532:K532)</f>
        <v>60631.443199999994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141655.60999999999</v>
      </c>
      <c r="G533" s="89">
        <f t="shared" ref="G533:L533" si="38">SUM(G530:G532)</f>
        <v>43017.650000000009</v>
      </c>
      <c r="H533" s="89">
        <f t="shared" si="38"/>
        <v>0</v>
      </c>
      <c r="I533" s="89">
        <f t="shared" si="38"/>
        <v>4800</v>
      </c>
      <c r="J533" s="89">
        <f t="shared" si="38"/>
        <v>0</v>
      </c>
      <c r="K533" s="89">
        <f t="shared" si="38"/>
        <v>0</v>
      </c>
      <c r="L533" s="89">
        <f t="shared" si="38"/>
        <v>189473.26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2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276">
        <v>1828.5131999999999</v>
      </c>
      <c r="I535" s="18"/>
      <c r="J535" s="18"/>
      <c r="K535" s="18"/>
      <c r="L535" s="88">
        <f>SUM(F535:K535)</f>
        <v>1828.5131999999999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5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276">
        <v>860.47679999999991</v>
      </c>
      <c r="I537" s="18"/>
      <c r="J537" s="18"/>
      <c r="K537" s="18"/>
      <c r="L537" s="88">
        <f>SUM(F537:K537)</f>
        <v>860.47679999999991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2688.99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2688.99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2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276">
        <v>49148.237600000008</v>
      </c>
      <c r="G540" s="276">
        <v>15726.666000000001</v>
      </c>
      <c r="H540" s="276">
        <v>26142.049200000005</v>
      </c>
      <c r="I540" s="276">
        <v>8937.6004000000012</v>
      </c>
      <c r="J540" s="18"/>
      <c r="K540" s="18"/>
      <c r="L540" s="88">
        <f>SUM(F540:K540)</f>
        <v>99954.553200000009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5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276">
        <v>23128.582400000003</v>
      </c>
      <c r="G542" s="276">
        <v>7400.7840000000006</v>
      </c>
      <c r="H542" s="276">
        <v>12302.140800000001</v>
      </c>
      <c r="I542" s="276">
        <v>4205.9296000000004</v>
      </c>
      <c r="J542" s="18"/>
      <c r="K542" s="18"/>
      <c r="L542" s="88">
        <f>SUM(F542:K542)</f>
        <v>47037.43680000001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72276.820000000007</v>
      </c>
      <c r="G543" s="194">
        <f t="shared" ref="G543:L543" si="40">SUM(G540:G542)</f>
        <v>23127.45</v>
      </c>
      <c r="H543" s="194">
        <f t="shared" si="40"/>
        <v>38444.19</v>
      </c>
      <c r="I543" s="194">
        <f t="shared" si="40"/>
        <v>13143.530000000002</v>
      </c>
      <c r="J543" s="194">
        <f t="shared" si="40"/>
        <v>0</v>
      </c>
      <c r="K543" s="194">
        <f t="shared" si="40"/>
        <v>0</v>
      </c>
      <c r="L543" s="194">
        <f t="shared" si="40"/>
        <v>146991.99000000002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3185905.8499999996</v>
      </c>
      <c r="G544" s="89">
        <f t="shared" ref="G544:L544" si="41">G523+G528+G533+G538+G543</f>
        <v>809799.65</v>
      </c>
      <c r="H544" s="89">
        <f t="shared" si="41"/>
        <v>1468593.76</v>
      </c>
      <c r="I544" s="89">
        <f t="shared" si="41"/>
        <v>70708.17</v>
      </c>
      <c r="J544" s="89">
        <f t="shared" si="41"/>
        <v>26877.34</v>
      </c>
      <c r="K544" s="89">
        <f t="shared" si="41"/>
        <v>8870.76</v>
      </c>
      <c r="L544" s="89">
        <f t="shared" si="41"/>
        <v>5570755.5300000003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3335538.5068000001</v>
      </c>
      <c r="G548" s="87">
        <f>L525</f>
        <v>417538.72720000002</v>
      </c>
      <c r="H548" s="87">
        <f>L530</f>
        <v>128841.8168</v>
      </c>
      <c r="I548" s="87">
        <f>L535</f>
        <v>1828.5131999999999</v>
      </c>
      <c r="J548" s="87">
        <f>L540</f>
        <v>99954.553200000009</v>
      </c>
      <c r="K548" s="87">
        <f>SUM(F548:J548)</f>
        <v>3983702.1172000002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1282035.2431999997</v>
      </c>
      <c r="G550" s="87">
        <f>L527</f>
        <v>196488.81280000001</v>
      </c>
      <c r="H550" s="87">
        <f>L532</f>
        <v>60631.443199999994</v>
      </c>
      <c r="I550" s="87">
        <f>L537</f>
        <v>860.47679999999991</v>
      </c>
      <c r="J550" s="87">
        <f>L542</f>
        <v>47037.43680000001</v>
      </c>
      <c r="K550" s="87">
        <f>SUM(F550:J550)</f>
        <v>1587053.4127999998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4617573.75</v>
      </c>
      <c r="G551" s="89">
        <f t="shared" si="42"/>
        <v>614027.54</v>
      </c>
      <c r="H551" s="89">
        <f t="shared" si="42"/>
        <v>189473.26</v>
      </c>
      <c r="I551" s="89">
        <f t="shared" si="42"/>
        <v>2688.99</v>
      </c>
      <c r="J551" s="89">
        <f t="shared" si="42"/>
        <v>146991.99000000002</v>
      </c>
      <c r="K551" s="89">
        <f t="shared" si="42"/>
        <v>5570755.5300000003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37949.440000000002</v>
      </c>
      <c r="G556" s="18">
        <v>11628.55</v>
      </c>
      <c r="H556" s="18"/>
      <c r="I556" s="18"/>
      <c r="J556" s="18"/>
      <c r="K556" s="18"/>
      <c r="L556" s="88">
        <f>SUM(F556:K556)</f>
        <v>49577.990000000005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17858.560000000001</v>
      </c>
      <c r="G558" s="18">
        <v>5472.26</v>
      </c>
      <c r="H558" s="18"/>
      <c r="I558" s="18"/>
      <c r="J558" s="18"/>
      <c r="K558" s="18"/>
      <c r="L558" s="88">
        <f>SUM(F558:K558)</f>
        <v>23330.82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55808</v>
      </c>
      <c r="G559" s="108">
        <f t="shared" si="43"/>
        <v>17100.809999999998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72908.81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55808</v>
      </c>
      <c r="G570" s="89">
        <f t="shared" ref="G570:L570" si="46">G559+G564+G569</f>
        <v>17100.809999999998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72908.81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18880.88</v>
      </c>
      <c r="G578" s="18"/>
      <c r="H578" s="18">
        <v>119256.56</v>
      </c>
      <c r="I578" s="87">
        <f t="shared" si="47"/>
        <v>138137.44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496514.46</v>
      </c>
      <c r="G581" s="18"/>
      <c r="H581" s="18">
        <v>389830.27</v>
      </c>
      <c r="I581" s="87">
        <f t="shared" si="47"/>
        <v>886344.73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19660.02</v>
      </c>
      <c r="I583" s="87">
        <f t="shared" si="47"/>
        <v>19660.02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2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275">
        <v>206694.65640000004</v>
      </c>
      <c r="I590" s="18"/>
      <c r="J590" s="275">
        <v>97268.073600000018</v>
      </c>
      <c r="K590" s="104">
        <f t="shared" ref="K590:K596" si="48">SUM(H590:J590)</f>
        <v>303962.73000000004</v>
      </c>
      <c r="L590" s="24" t="s">
        <v>289</v>
      </c>
      <c r="M590" s="8"/>
    </row>
    <row r="591" spans="1:13" s="3" customFormat="1" ht="12" customHeight="1" x14ac:dyDescent="0.2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275">
        <v>99954.553199999995</v>
      </c>
      <c r="I591" s="18"/>
      <c r="J591" s="275">
        <v>47037.436799999996</v>
      </c>
      <c r="K591" s="104">
        <f t="shared" si="48"/>
        <v>146991.99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271">
        <v>24475.81</v>
      </c>
      <c r="K592" s="104">
        <f t="shared" si="48"/>
        <v>24475.81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271">
        <v>2710.7000000000003</v>
      </c>
      <c r="I593" s="18"/>
      <c r="J593" s="271">
        <v>12208.64</v>
      </c>
      <c r="K593" s="104">
        <f t="shared" si="48"/>
        <v>14919.34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271">
        <f>3953.88+277.28</f>
        <v>4231.16</v>
      </c>
      <c r="I594" s="18"/>
      <c r="J594" s="271">
        <f>1762.94+130.49</f>
        <v>1893.43</v>
      </c>
      <c r="K594" s="104">
        <f t="shared" si="48"/>
        <v>6124.59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5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275">
        <v>34915.300400000015</v>
      </c>
      <c r="I596" s="18"/>
      <c r="J596" s="271">
        <f>9008.3+16430.73</f>
        <v>25439.03</v>
      </c>
      <c r="K596" s="104">
        <f t="shared" si="48"/>
        <v>60354.330400000013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348506.37000000005</v>
      </c>
      <c r="I597" s="108">
        <f>SUM(I590:I596)</f>
        <v>0</v>
      </c>
      <c r="J597" s="108">
        <f>SUM(J590:J596)</f>
        <v>208322.42040000003</v>
      </c>
      <c r="K597" s="108">
        <f>SUM(K590:K596)</f>
        <v>556828.79040000006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67690.45</v>
      </c>
      <c r="I603" s="18"/>
      <c r="J603" s="18">
        <v>23301.86</v>
      </c>
      <c r="K603" s="104">
        <f>SUM(H603:J603)</f>
        <v>90992.31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67690.45</v>
      </c>
      <c r="I604" s="108">
        <f>SUM(I601:I603)</f>
        <v>0</v>
      </c>
      <c r="J604" s="108">
        <f>SUM(J601:J603)</f>
        <v>23301.86</v>
      </c>
      <c r="K604" s="108">
        <f>SUM(K601:K603)</f>
        <v>90992.31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2199409.46</v>
      </c>
      <c r="H616" s="109">
        <f>SUM(F51)</f>
        <v>2199409.46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7312.5</v>
      </c>
      <c r="H617" s="109">
        <f>SUM(G51)</f>
        <v>7312.5000000000009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65248.899999999994</v>
      </c>
      <c r="H618" s="109">
        <f>SUM(H51)</f>
        <v>65248.9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100000</v>
      </c>
      <c r="H620" s="109">
        <f>SUM(J51)</f>
        <v>100000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477936.28</v>
      </c>
      <c r="H621" s="109">
        <f>F475</f>
        <v>477936.27999999933</v>
      </c>
      <c r="I621" s="121" t="s">
        <v>101</v>
      </c>
      <c r="J621" s="109">
        <f t="shared" ref="J621:J654" si="50">G621-H621</f>
        <v>6.9849193096160889E-10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43.06</v>
      </c>
      <c r="H622" s="109">
        <f>G475</f>
        <v>43.059999999939464</v>
      </c>
      <c r="I622" s="121" t="s">
        <v>102</v>
      </c>
      <c r="J622" s="109">
        <f t="shared" si="50"/>
        <v>6.0538241086760536E-11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100000</v>
      </c>
      <c r="H625" s="109">
        <f>J475</f>
        <v>100000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15918754.000000002</v>
      </c>
      <c r="H626" s="104">
        <f>SUM(F467)</f>
        <v>15918754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536788.85</v>
      </c>
      <c r="H627" s="104">
        <f>SUM(G467)</f>
        <v>536788.85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1657037.8699999999</v>
      </c>
      <c r="H628" s="104">
        <f>SUM(H467)</f>
        <v>1657037.87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100000</v>
      </c>
      <c r="H630" s="104">
        <f>SUM(J467)</f>
        <v>100000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16252692.720000003</v>
      </c>
      <c r="H631" s="104">
        <f>SUM(F471)</f>
        <v>16252692.720000001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1863619.53</v>
      </c>
      <c r="H632" s="104">
        <f>SUM(H471)</f>
        <v>1863619.53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257887.08999999997</v>
      </c>
      <c r="H633" s="104">
        <f>I368</f>
        <v>257887.08999999997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536745.79</v>
      </c>
      <c r="H634" s="104">
        <f>SUM(G471)</f>
        <v>536745.79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100000</v>
      </c>
      <c r="H636" s="164">
        <f>SUM(J467)</f>
        <v>100000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100000</v>
      </c>
      <c r="H639" s="104">
        <f>SUM(G460)</f>
        <v>100000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100000</v>
      </c>
      <c r="H641" s="104">
        <f>SUM(I460)</f>
        <v>100000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100000</v>
      </c>
      <c r="H645" s="104">
        <f>L407</f>
        <v>100000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556828.79040000006</v>
      </c>
      <c r="H646" s="104">
        <f>L207+L225+L243</f>
        <v>556828.78999999992</v>
      </c>
      <c r="I646" s="140" t="s">
        <v>397</v>
      </c>
      <c r="J646" s="109">
        <f t="shared" si="50"/>
        <v>4.0000013541430235E-4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90992.31</v>
      </c>
      <c r="H647" s="104">
        <f>(J256+J337)-(J254+J335)</f>
        <v>90992.31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348506.38999999996</v>
      </c>
      <c r="H648" s="104">
        <f>H597</f>
        <v>348506.37000000005</v>
      </c>
      <c r="I648" s="140" t="s">
        <v>389</v>
      </c>
      <c r="J648" s="109">
        <f t="shared" si="50"/>
        <v>1.999999990221113E-2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208322.4</v>
      </c>
      <c r="H650" s="104">
        <f>J597</f>
        <v>208322.42040000003</v>
      </c>
      <c r="I650" s="140" t="s">
        <v>391</v>
      </c>
      <c r="J650" s="109">
        <f t="shared" si="50"/>
        <v>-2.0400000037625432E-2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69555.77</v>
      </c>
      <c r="H651" s="104">
        <f>K262+K344</f>
        <v>69555.77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11669928.600000001</v>
      </c>
      <c r="G659" s="19">
        <f>(L228+L308+L358)</f>
        <v>0</v>
      </c>
      <c r="H659" s="19">
        <f>(L246+L327+L359)</f>
        <v>5659232.7200000016</v>
      </c>
      <c r="I659" s="19">
        <f>SUM(F659:H659)</f>
        <v>17329161.320000004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123121.50438099384</v>
      </c>
      <c r="G660" s="19">
        <f>(L358/IF(SUM(L357:L359)=0,1,SUM(L357:L359))*(SUM(G96:G109)))</f>
        <v>0</v>
      </c>
      <c r="H660" s="19">
        <f>(L359/IF(SUM(L357:L359)=0,1,SUM(L357:L359))*(SUM(G96:G109)))</f>
        <v>60092.795619006152</v>
      </c>
      <c r="I660" s="19">
        <f>SUM(F660:H660)</f>
        <v>183214.3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346097.55999999994</v>
      </c>
      <c r="G661" s="19">
        <f>(L225+L305)-(J225+J305)</f>
        <v>0</v>
      </c>
      <c r="H661" s="19">
        <f>(L243+L324)-(J243+J324)</f>
        <v>207188.84</v>
      </c>
      <c r="I661" s="19">
        <f>SUM(F661:H661)</f>
        <v>553286.39999999991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583085.79</v>
      </c>
      <c r="G662" s="200">
        <f>SUM(G574:G586)+SUM(I601:I603)+L611</f>
        <v>0</v>
      </c>
      <c r="H662" s="200">
        <f>SUM(H574:H586)+SUM(J601:J603)+L612</f>
        <v>552048.71</v>
      </c>
      <c r="I662" s="19">
        <f>SUM(F662:H662)</f>
        <v>1135134.5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10617623.745619008</v>
      </c>
      <c r="G663" s="19">
        <f>G659-SUM(G660:G662)</f>
        <v>0</v>
      </c>
      <c r="H663" s="19">
        <f>H659-SUM(H660:H662)</f>
        <v>4839902.3743809955</v>
      </c>
      <c r="I663" s="19">
        <f>I659-SUM(I660:I662)</f>
        <v>15457526.120000005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879.04</v>
      </c>
      <c r="G664" s="249"/>
      <c r="H664" s="249">
        <v>424</v>
      </c>
      <c r="I664" s="19">
        <f>SUM(F664:H664)</f>
        <v>1303.04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12078.66</v>
      </c>
      <c r="G666" s="19" t="e">
        <f>ROUND(G663/G664,2)</f>
        <v>#DIV/0!</v>
      </c>
      <c r="H666" s="19">
        <f>ROUND(H663/H664,2)</f>
        <v>11414.86</v>
      </c>
      <c r="I666" s="19">
        <f>ROUND(I663/I664,2)</f>
        <v>11862.66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-10.6</v>
      </c>
      <c r="I669" s="19">
        <f>SUM(F669:H669)</f>
        <v>-10.6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12078.66</v>
      </c>
      <c r="G671" s="19" t="e">
        <f>ROUND((G663+G668)/(G664+G669),2)</f>
        <v>#DIV/0!</v>
      </c>
      <c r="H671" s="19">
        <f>ROUND((H663+H668)/(H664+H669),2)</f>
        <v>11707.55</v>
      </c>
      <c r="I671" s="19">
        <f>ROUND((I663+I668)/(I664+I669),2)</f>
        <v>11959.96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25" right="0.25" top="0.75" bottom="0.75" header="0.3" footer="0.3"/>
  <pageSetup scale="70" fitToHeight="58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11" man="1"/>
    <brk id="168" max="11" man="1"/>
    <brk id="192" max="11" man="1"/>
    <brk id="210" max="11" man="1"/>
    <brk id="228" max="11" man="1"/>
    <brk id="246" max="11" man="1"/>
    <brk id="270" max="11" man="1"/>
    <brk id="289" max="11" man="1"/>
    <brk id="308" max="11" man="1"/>
    <brk id="327" max="11" man="1"/>
    <brk id="351" max="11" man="1"/>
    <brk id="381" max="11" man="1"/>
    <brk id="407" max="11" man="1"/>
    <brk id="431" max="16383" man="1"/>
    <brk id="460" max="11" man="1"/>
    <brk id="484" max="11" man="1"/>
    <brk id="516" max="11" man="1"/>
    <brk id="551" max="11" man="1"/>
    <brk id="587" max="11" man="1"/>
    <brk id="614" max="11" man="1"/>
    <brk id="655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Farmington</v>
      </c>
      <c r="C1" s="239" t="s">
        <v>839</v>
      </c>
    </row>
    <row r="2" spans="1:3" x14ac:dyDescent="0.2">
      <c r="A2" s="234"/>
      <c r="B2" s="233"/>
    </row>
    <row r="3" spans="1:3" x14ac:dyDescent="0.2">
      <c r="A3" s="280" t="s">
        <v>784</v>
      </c>
      <c r="B3" s="280"/>
      <c r="C3" s="280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9" t="s">
        <v>783</v>
      </c>
      <c r="C6" s="279"/>
    </row>
    <row r="7" spans="1:3" x14ac:dyDescent="0.2">
      <c r="A7" s="240" t="s">
        <v>786</v>
      </c>
      <c r="B7" s="277" t="s">
        <v>782</v>
      </c>
      <c r="C7" s="278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3787214.8</v>
      </c>
      <c r="C9" s="230">
        <f>'DOE25'!G196+'DOE25'!G214+'DOE25'!G232+'DOE25'!G275+'DOE25'!G294+'DOE25'!G313</f>
        <v>1294441.71</v>
      </c>
    </row>
    <row r="10" spans="1:3" x14ac:dyDescent="0.2">
      <c r="A10" t="s">
        <v>779</v>
      </c>
      <c r="B10" s="241">
        <v>3644978.23</v>
      </c>
      <c r="C10" s="241">
        <v>1242664.04</v>
      </c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>
        <v>142236.57</v>
      </c>
      <c r="C12" s="241">
        <v>51777.67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3787214.8</v>
      </c>
      <c r="C13" s="232">
        <f>SUM(C10:C12)</f>
        <v>1294441.71</v>
      </c>
    </row>
    <row r="14" spans="1:3" x14ac:dyDescent="0.2">
      <c r="B14" s="231"/>
      <c r="C14" s="231"/>
    </row>
    <row r="15" spans="1:3" x14ac:dyDescent="0.2">
      <c r="B15" s="279" t="s">
        <v>783</v>
      </c>
      <c r="C15" s="279"/>
    </row>
    <row r="16" spans="1:3" x14ac:dyDescent="0.2">
      <c r="A16" s="240" t="s">
        <v>787</v>
      </c>
      <c r="B16" s="277" t="s">
        <v>707</v>
      </c>
      <c r="C16" s="278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2652388.9099999997</v>
      </c>
      <c r="C18" s="230">
        <f>'DOE25'!G197+'DOE25'!G215+'DOE25'!G233+'DOE25'!G276+'DOE25'!G295+'DOE25'!G314</f>
        <v>612666.23</v>
      </c>
    </row>
    <row r="19" spans="1:3" x14ac:dyDescent="0.2">
      <c r="A19" t="s">
        <v>779</v>
      </c>
      <c r="B19" s="241">
        <v>1186630.3799999999</v>
      </c>
      <c r="C19" s="241">
        <v>275699.8</v>
      </c>
    </row>
    <row r="20" spans="1:3" x14ac:dyDescent="0.2">
      <c r="A20" t="s">
        <v>780</v>
      </c>
      <c r="B20" s="241">
        <v>1313617.32</v>
      </c>
      <c r="C20" s="241">
        <v>306333.12</v>
      </c>
    </row>
    <row r="21" spans="1:3" x14ac:dyDescent="0.2">
      <c r="A21" t="s">
        <v>781</v>
      </c>
      <c r="B21" s="241">
        <v>152141.21</v>
      </c>
      <c r="C21" s="241">
        <v>30633.31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2652388.91</v>
      </c>
      <c r="C22" s="232">
        <f>SUM(C19:C21)</f>
        <v>612666.23</v>
      </c>
    </row>
    <row r="23" spans="1:3" x14ac:dyDescent="0.2">
      <c r="B23" s="231"/>
      <c r="C23" s="231"/>
    </row>
    <row r="24" spans="1:3" x14ac:dyDescent="0.2">
      <c r="B24" s="279" t="s">
        <v>783</v>
      </c>
      <c r="C24" s="279"/>
    </row>
    <row r="25" spans="1:3" x14ac:dyDescent="0.2">
      <c r="A25" s="240" t="s">
        <v>788</v>
      </c>
      <c r="B25" s="277" t="s">
        <v>708</v>
      </c>
      <c r="C25" s="278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40" t="s">
        <v>789</v>
      </c>
      <c r="B34" s="277" t="s">
        <v>709</v>
      </c>
      <c r="C34" s="278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220175.16</v>
      </c>
      <c r="C36" s="236">
        <f>'DOE25'!G199+'DOE25'!G217+'DOE25'!G235+'DOE25'!G278+'DOE25'!G297+'DOE25'!G316</f>
        <v>41510.409999999996</v>
      </c>
    </row>
    <row r="37" spans="1:3" x14ac:dyDescent="0.2">
      <c r="A37" t="s">
        <v>779</v>
      </c>
      <c r="B37" s="241">
        <v>130960.82</v>
      </c>
      <c r="C37" s="241">
        <v>15504.38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f>81807.75+7406.59</f>
        <v>89214.34</v>
      </c>
      <c r="C39" s="241">
        <f>25296.61+709.42</f>
        <v>26006.03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220175.16</v>
      </c>
      <c r="C40" s="232">
        <f>SUM(C37:C39)</f>
        <v>41510.409999999996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6" t="str">
        <f>'DOE25'!A2</f>
        <v>Farmington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9577197.9700000007</v>
      </c>
      <c r="D5" s="20">
        <f>SUM('DOE25'!L196:L199)+SUM('DOE25'!L214:L217)+SUM('DOE25'!L232:L235)-F5-G5</f>
        <v>9556778.7700000014</v>
      </c>
      <c r="E5" s="244"/>
      <c r="F5" s="256">
        <f>SUM('DOE25'!J196:J199)+SUM('DOE25'!J214:J217)+SUM('DOE25'!J232:J235)</f>
        <v>10405.94</v>
      </c>
      <c r="G5" s="53">
        <f>SUM('DOE25'!K196:K199)+SUM('DOE25'!K214:K217)+SUM('DOE25'!K232:K235)</f>
        <v>10013.26</v>
      </c>
      <c r="H5" s="260"/>
    </row>
    <row r="6" spans="1:9" x14ac:dyDescent="0.2">
      <c r="A6" s="32">
        <v>2100</v>
      </c>
      <c r="B6" t="s">
        <v>801</v>
      </c>
      <c r="C6" s="246">
        <f t="shared" si="0"/>
        <v>1111401.96</v>
      </c>
      <c r="D6" s="20">
        <f>'DOE25'!L201+'DOE25'!L219+'DOE25'!L237-F6-G6</f>
        <v>1109650.6099999999</v>
      </c>
      <c r="E6" s="244"/>
      <c r="F6" s="256">
        <f>'DOE25'!J201+'DOE25'!J219+'DOE25'!J237</f>
        <v>893.85</v>
      </c>
      <c r="G6" s="53">
        <f>'DOE25'!K201+'DOE25'!K219+'DOE25'!K237</f>
        <v>857.5</v>
      </c>
      <c r="H6" s="260"/>
    </row>
    <row r="7" spans="1:9" x14ac:dyDescent="0.2">
      <c r="A7" s="32">
        <v>2200</v>
      </c>
      <c r="B7" t="s">
        <v>834</v>
      </c>
      <c r="C7" s="246">
        <f t="shared" si="0"/>
        <v>383789.92000000004</v>
      </c>
      <c r="D7" s="20">
        <f>'DOE25'!L202+'DOE25'!L220+'DOE25'!L238-F7-G7</f>
        <v>381900.61000000004</v>
      </c>
      <c r="E7" s="244"/>
      <c r="F7" s="256">
        <f>'DOE25'!J202+'DOE25'!J220+'DOE25'!J238</f>
        <v>0</v>
      </c>
      <c r="G7" s="53">
        <f>'DOE25'!K202+'DOE25'!K220+'DOE25'!K238</f>
        <v>1889.31</v>
      </c>
      <c r="H7" s="260"/>
    </row>
    <row r="8" spans="1:9" x14ac:dyDescent="0.2">
      <c r="A8" s="32">
        <v>2300</v>
      </c>
      <c r="B8" t="s">
        <v>802</v>
      </c>
      <c r="C8" s="246">
        <f t="shared" si="0"/>
        <v>717317.94000000006</v>
      </c>
      <c r="D8" s="244"/>
      <c r="E8" s="20">
        <f>'DOE25'!L203+'DOE25'!L221+'DOE25'!L239-F8-G8-D9-D11</f>
        <v>711625.03</v>
      </c>
      <c r="F8" s="256">
        <f>'DOE25'!J203+'DOE25'!J221+'DOE25'!J239</f>
        <v>0</v>
      </c>
      <c r="G8" s="53">
        <f>'DOE25'!K203+'DOE25'!K221+'DOE25'!K239</f>
        <v>5692.91</v>
      </c>
      <c r="H8" s="260"/>
    </row>
    <row r="9" spans="1:9" x14ac:dyDescent="0.2">
      <c r="A9" s="32">
        <v>2310</v>
      </c>
      <c r="B9" t="s">
        <v>818</v>
      </c>
      <c r="C9" s="246">
        <f t="shared" si="0"/>
        <v>93514.11</v>
      </c>
      <c r="D9" s="245">
        <v>93514.11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14000</v>
      </c>
      <c r="D10" s="244"/>
      <c r="E10" s="245">
        <v>14000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202168.42</v>
      </c>
      <c r="D11" s="245">
        <v>202168.42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916506.93</v>
      </c>
      <c r="D12" s="20">
        <f>'DOE25'!L204+'DOE25'!L222+'DOE25'!L240-F12-G12</f>
        <v>908312.60000000009</v>
      </c>
      <c r="E12" s="244"/>
      <c r="F12" s="256">
        <f>'DOE25'!J204+'DOE25'!J222+'DOE25'!J240</f>
        <v>3309</v>
      </c>
      <c r="G12" s="53">
        <f>'DOE25'!K204+'DOE25'!K222+'DOE25'!K240</f>
        <v>4885.33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3097.9900000000002</v>
      </c>
      <c r="D13" s="244"/>
      <c r="E13" s="20">
        <f>'DOE25'!L205+'DOE25'!L223+'DOE25'!L241-F13-G13</f>
        <v>1761.7400000000002</v>
      </c>
      <c r="F13" s="256">
        <f>'DOE25'!J205+'DOE25'!J223+'DOE25'!J241</f>
        <v>0</v>
      </c>
      <c r="G13" s="53">
        <f>'DOE25'!K205+'DOE25'!K223+'DOE25'!K241</f>
        <v>1336.25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1419223.48</v>
      </c>
      <c r="D14" s="20">
        <f>'DOE25'!L206+'DOE25'!L224+'DOE25'!L242-F14-G14</f>
        <v>1398839.57</v>
      </c>
      <c r="E14" s="244"/>
      <c r="F14" s="256">
        <f>'DOE25'!J206+'DOE25'!J224+'DOE25'!J242</f>
        <v>20383.91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556828.78999999992</v>
      </c>
      <c r="D15" s="20">
        <f>'DOE25'!L207+'DOE25'!L225+'DOE25'!L243-F15-G15</f>
        <v>552420.39999999991</v>
      </c>
      <c r="E15" s="244"/>
      <c r="F15" s="256">
        <f>'DOE25'!J207+'DOE25'!J225+'DOE25'!J243</f>
        <v>3542.39</v>
      </c>
      <c r="G15" s="53">
        <f>'DOE25'!K207+'DOE25'!K225+'DOE25'!K243</f>
        <v>866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239521.94</v>
      </c>
      <c r="D16" s="244"/>
      <c r="E16" s="20">
        <f>'DOE25'!L208+'DOE25'!L226+'DOE25'!L244-F16-G16</f>
        <v>237092.83000000002</v>
      </c>
      <c r="F16" s="256">
        <f>'DOE25'!J208+'DOE25'!J226+'DOE25'!J244</f>
        <v>2379.11</v>
      </c>
      <c r="G16" s="53">
        <f>'DOE25'!K208+'DOE25'!K226+'DOE25'!K244</f>
        <v>50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80355</v>
      </c>
      <c r="D22" s="244"/>
      <c r="E22" s="244"/>
      <c r="F22" s="256">
        <f>'DOE25'!L254+'DOE25'!L335</f>
        <v>80355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782212.5</v>
      </c>
      <c r="D25" s="244"/>
      <c r="E25" s="244"/>
      <c r="F25" s="259"/>
      <c r="G25" s="257"/>
      <c r="H25" s="258">
        <f>'DOE25'!L259+'DOE25'!L260+'DOE25'!L340+'DOE25'!L341</f>
        <v>782212.5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307201.64000000007</v>
      </c>
      <c r="D29" s="20">
        <f>'DOE25'!L357+'DOE25'!L358+'DOE25'!L359-'DOE25'!I366-F29-G29</f>
        <v>307094.39000000007</v>
      </c>
      <c r="E29" s="244"/>
      <c r="F29" s="256">
        <f>'DOE25'!J357+'DOE25'!J358+'DOE25'!J359</f>
        <v>0</v>
      </c>
      <c r="G29" s="53">
        <f>'DOE25'!K357+'DOE25'!K358+'DOE25'!K359</f>
        <v>107.25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1756357.55</v>
      </c>
      <c r="D31" s="20">
        <f>'DOE25'!L289+'DOE25'!L308+'DOE25'!L327+'DOE25'!L332+'DOE25'!L333+'DOE25'!L334-F31-G31</f>
        <v>1704777.51</v>
      </c>
      <c r="E31" s="244"/>
      <c r="F31" s="256">
        <f>'DOE25'!J289+'DOE25'!J308+'DOE25'!J327+'DOE25'!J332+'DOE25'!J333+'DOE25'!J334</f>
        <v>50078.11</v>
      </c>
      <c r="G31" s="53">
        <f>'DOE25'!K289+'DOE25'!K308+'DOE25'!K327+'DOE25'!K332+'DOE25'!K333+'DOE25'!K334</f>
        <v>1501.93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16215456.99</v>
      </c>
      <c r="E33" s="247">
        <f>SUM(E5:E31)</f>
        <v>964479.60000000009</v>
      </c>
      <c r="F33" s="247">
        <f>SUM(F5:F31)</f>
        <v>171347.31</v>
      </c>
      <c r="G33" s="247">
        <f>SUM(G5:G31)</f>
        <v>27199.739999999998</v>
      </c>
      <c r="H33" s="247">
        <f>SUM(H5:H31)</f>
        <v>782212.5</v>
      </c>
    </row>
    <row r="35" spans="2:8" ht="12" thickBot="1" x14ac:dyDescent="0.25">
      <c r="B35" s="254" t="s">
        <v>847</v>
      </c>
      <c r="D35" s="255">
        <f>E33</f>
        <v>964479.60000000009</v>
      </c>
      <c r="E35" s="250"/>
    </row>
    <row r="36" spans="2:8" ht="12" thickTop="1" x14ac:dyDescent="0.2">
      <c r="B36" t="s">
        <v>815</v>
      </c>
      <c r="D36" s="20">
        <f>D33</f>
        <v>16215456.99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  <pageSetUpPr fitToPage="1"/>
  </sheetPr>
  <dimension ref="A1:I163"/>
  <sheetViews>
    <sheetView zoomScale="80" zoomScaleNormal="80" workbookViewId="0">
      <pane ySplit="2" topLeftCell="A21" activePane="bottomLeft" state="frozen"/>
      <selection pane="bottomLeft" sqref="A1:G16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Farmington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383705.58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342271.51</v>
      </c>
      <c r="D11" s="95">
        <f>'DOE25'!G12</f>
        <v>-9430.5400000000009</v>
      </c>
      <c r="E11" s="95">
        <f>'DOE25'!H12</f>
        <v>0</v>
      </c>
      <c r="F11" s="95">
        <f>'DOE25'!I12</f>
        <v>0</v>
      </c>
      <c r="G11" s="95">
        <f>'DOE25'!J12</f>
        <v>100000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1296403.82</v>
      </c>
      <c r="D12" s="95">
        <f>'DOE25'!G13</f>
        <v>0</v>
      </c>
      <c r="E12" s="95">
        <f>'DOE25'!H13</f>
        <v>65248.899999999994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177028.55</v>
      </c>
      <c r="D13" s="95">
        <f>'DOE25'!G14</f>
        <v>16743.04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2199409.46</v>
      </c>
      <c r="D18" s="41">
        <f>SUM(D8:D17)</f>
        <v>7312.5</v>
      </c>
      <c r="E18" s="41">
        <f>SUM(E8:E17)</f>
        <v>65248.899999999994</v>
      </c>
      <c r="F18" s="41">
        <f>SUM(F8:F17)</f>
        <v>0</v>
      </c>
      <c r="G18" s="41">
        <f>SUM(G8:G17)</f>
        <v>100000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150000</v>
      </c>
      <c r="D21" s="95">
        <f>'DOE25'!G22</f>
        <v>81.790000000000006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473064.35</v>
      </c>
      <c r="D23" s="95">
        <f>'DOE25'!G24</f>
        <v>3768.11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1154412.8399999999</v>
      </c>
      <c r="D27" s="95">
        <f>'DOE25'!G28</f>
        <v>0</v>
      </c>
      <c r="E27" s="95">
        <f>'DOE25'!H28</f>
        <v>62112.55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-56004.01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3419.54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3136.35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1721473.18</v>
      </c>
      <c r="D31" s="41">
        <f>SUM(D21:D30)</f>
        <v>7269.4400000000005</v>
      </c>
      <c r="E31" s="41">
        <f>SUM(E21:E30)</f>
        <v>65248.9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100000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126094.47</v>
      </c>
      <c r="D47" s="95">
        <f>'DOE25'!G48</f>
        <v>43.06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251841.81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477936.28</v>
      </c>
      <c r="D49" s="41">
        <f>SUM(D34:D48)</f>
        <v>43.06</v>
      </c>
      <c r="E49" s="41">
        <f>SUM(E34:E48)</f>
        <v>0</v>
      </c>
      <c r="F49" s="41">
        <f>SUM(F34:F48)</f>
        <v>0</v>
      </c>
      <c r="G49" s="41">
        <f>SUM(G34:G48)</f>
        <v>100000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2199409.46</v>
      </c>
      <c r="D50" s="41">
        <f>D49+D31</f>
        <v>7312.5000000000009</v>
      </c>
      <c r="E50" s="41">
        <f>E49+E31</f>
        <v>65248.9</v>
      </c>
      <c r="F50" s="41">
        <f>F49+F31</f>
        <v>0</v>
      </c>
      <c r="G50" s="41">
        <f>G49+G31</f>
        <v>100000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3814432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3152780.13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16635.61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444.88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182865.32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9482.67</v>
      </c>
      <c r="D60" s="95">
        <f>SUM('DOE25'!G97:G109)</f>
        <v>348.98</v>
      </c>
      <c r="E60" s="95">
        <f>SUM('DOE25'!H97:H109)</f>
        <v>195.06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3179343.2899999996</v>
      </c>
      <c r="D61" s="130">
        <f>SUM(D56:D60)</f>
        <v>183214.30000000002</v>
      </c>
      <c r="E61" s="130">
        <f>SUM(E56:E60)</f>
        <v>195.06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6993775.2899999991</v>
      </c>
      <c r="D62" s="22">
        <f>D55+D61</f>
        <v>183214.30000000002</v>
      </c>
      <c r="E62" s="22">
        <f>E55+E61</f>
        <v>195.06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6832335.2400000002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1089394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5919.7600000000093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7927649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373817.05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152744.15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SUM('DOE25'!F127:F129)</f>
        <v>3890.54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7014.99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530451.74</v>
      </c>
      <c r="D77" s="130">
        <f>SUM(D71:D76)</f>
        <v>7014.99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8458100.7400000002</v>
      </c>
      <c r="D80" s="130">
        <f>SUM(D78:D79)+D77+D69</f>
        <v>7014.99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171487.16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176640.01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188077.34</v>
      </c>
      <c r="D87" s="95">
        <f>SUM('DOE25'!G152:G160)</f>
        <v>277003.78999999998</v>
      </c>
      <c r="E87" s="95">
        <f>SUM('DOE25'!H152:H160)</f>
        <v>1480202.7999999998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359564.5</v>
      </c>
      <c r="D90" s="131">
        <f>SUM(D84:D89)</f>
        <v>277003.78999999998</v>
      </c>
      <c r="E90" s="131">
        <f>SUM(E84:E89)</f>
        <v>1656842.8099999998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69555.77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107313.47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107313.47</v>
      </c>
      <c r="D102" s="86">
        <f>SUM(D92:D101)</f>
        <v>69555.77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15918754</v>
      </c>
      <c r="D103" s="86">
        <f>D62+D80+D90+D102</f>
        <v>536788.85</v>
      </c>
      <c r="E103" s="86">
        <f>E62+E80+E90+E102</f>
        <v>1657037.8699999999</v>
      </c>
      <c r="F103" s="86">
        <f>F62+F80+F90+F102</f>
        <v>0</v>
      </c>
      <c r="G103" s="86">
        <f>G62+G80+G102</f>
        <v>100000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5331068.21</v>
      </c>
      <c r="D108" s="24" t="s">
        <v>289</v>
      </c>
      <c r="E108" s="95">
        <f>('DOE25'!L275)+('DOE25'!L294)+('DOE25'!L313)</f>
        <v>12764.58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3926928.45</v>
      </c>
      <c r="D109" s="24" t="s">
        <v>289</v>
      </c>
      <c r="E109" s="95">
        <f>('DOE25'!L276)+('DOE25'!L295)+('DOE25'!L314)</f>
        <v>690645.3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20812.91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298388.40000000002</v>
      </c>
      <c r="D111" s="24" t="s">
        <v>289</v>
      </c>
      <c r="E111" s="95">
        <f>+('DOE25'!L278)+('DOE25'!L297)+('DOE25'!L316)</f>
        <v>52738.16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184511.47000000003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9577197.9700000007</v>
      </c>
      <c r="D114" s="86">
        <f>SUM(D108:D113)</f>
        <v>0</v>
      </c>
      <c r="E114" s="86">
        <f>SUM(E108:E113)</f>
        <v>940659.51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1111401.96</v>
      </c>
      <c r="D117" s="24" t="s">
        <v>289</v>
      </c>
      <c r="E117" s="95">
        <f>+('DOE25'!L280)+('DOE25'!L299)+('DOE25'!L318)</f>
        <v>115282.23000000001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383789.92000000004</v>
      </c>
      <c r="D118" s="24" t="s">
        <v>289</v>
      </c>
      <c r="E118" s="95">
        <f>+('DOE25'!L281)+('DOE25'!L300)+('DOE25'!L319)</f>
        <v>563730.75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1013000.4700000001</v>
      </c>
      <c r="D119" s="24" t="s">
        <v>289</v>
      </c>
      <c r="E119" s="95">
        <f>+('DOE25'!L282)+('DOE25'!L301)+('DOE25'!L320)</f>
        <v>124435.06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916506.93</v>
      </c>
      <c r="D120" s="24" t="s">
        <v>289</v>
      </c>
      <c r="E120" s="95">
        <f>+('DOE25'!L283)+('DOE25'!L302)+('DOE25'!L321)</f>
        <v>8330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3097.9900000000002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1419223.48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556828.78999999992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239521.94</v>
      </c>
      <c r="D124" s="24" t="s">
        <v>289</v>
      </c>
      <c r="E124" s="95">
        <f>+('DOE25'!L287)+('DOE25'!L306)+('DOE25'!L325)</f>
        <v>3920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536745.79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5643371.4800000004</v>
      </c>
      <c r="D127" s="86">
        <f>SUM(D117:D126)</f>
        <v>536745.79</v>
      </c>
      <c r="E127" s="86">
        <f>SUM(E117:E126)</f>
        <v>815698.04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80355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765000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17212.5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107261.98000000001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69555.77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1032123.27</v>
      </c>
      <c r="D143" s="141">
        <f>SUM(D129:D142)</f>
        <v>0</v>
      </c>
      <c r="E143" s="141">
        <f>SUM(E129:E142)</f>
        <v>107261.98000000001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16252692.720000001</v>
      </c>
      <c r="D144" s="86">
        <f>(D114+D127+D143)</f>
        <v>536745.79</v>
      </c>
      <c r="E144" s="86">
        <f>(E114+E127+E143)</f>
        <v>1863619.53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7650000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4.38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1530000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1530000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765000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765000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2" fitToHeight="11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5"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Farmington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12079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11708</v>
      </c>
    </row>
    <row r="7" spans="1:4" x14ac:dyDescent="0.2">
      <c r="B7" t="s">
        <v>705</v>
      </c>
      <c r="C7" s="179">
        <f>IF('DOE25'!I664+'DOE25'!I669=0,0,ROUND('DOE25'!I671,0))</f>
        <v>11960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5343833</v>
      </c>
      <c r="D10" s="182">
        <f>ROUND((C10/$C$28)*100,1)</f>
        <v>30.8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4617574</v>
      </c>
      <c r="D11" s="182">
        <f>ROUND((C11/$C$28)*100,1)</f>
        <v>26.6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20813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351127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1226684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947521</v>
      </c>
      <c r="D16" s="182">
        <f t="shared" si="0"/>
        <v>5.5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1380877</v>
      </c>
      <c r="D17" s="182">
        <f t="shared" si="0"/>
        <v>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924837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3098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1419223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556829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184511</v>
      </c>
      <c r="D24" s="182">
        <f t="shared" si="0"/>
        <v>1.1000000000000001</v>
      </c>
    </row>
    <row r="25" spans="1:4" x14ac:dyDescent="0.2">
      <c r="A25">
        <v>5120</v>
      </c>
      <c r="B25" t="s">
        <v>720</v>
      </c>
      <c r="C25" s="179">
        <f>ROUND('DOE25'!L260+'DOE25'!L341,0)</f>
        <v>17213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353531.69999999995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17347671.699999999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80355</v>
      </c>
    </row>
    <row r="30" spans="1:4" x14ac:dyDescent="0.2">
      <c r="B30" s="187" t="s">
        <v>729</v>
      </c>
      <c r="C30" s="180">
        <f>SUM(C28:C29)</f>
        <v>17428026.699999999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765000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3814432</v>
      </c>
      <c r="D35" s="182">
        <f t="shared" ref="D35:D40" si="1">ROUND((C35/$C$41)*100,1)</f>
        <v>21.5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3179538.3499999996</v>
      </c>
      <c r="D36" s="182">
        <f t="shared" si="1"/>
        <v>17.899999999999999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7927649</v>
      </c>
      <c r="D37" s="182">
        <f t="shared" si="1"/>
        <v>44.7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537467</v>
      </c>
      <c r="D38" s="182">
        <f t="shared" si="1"/>
        <v>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2293411</v>
      </c>
      <c r="D39" s="182">
        <f t="shared" si="1"/>
        <v>12.9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17752497.350000001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98" t="s">
        <v>767</v>
      </c>
      <c r="B2" s="299"/>
      <c r="C2" s="299"/>
      <c r="D2" s="299"/>
      <c r="E2" s="299"/>
      <c r="F2" s="294" t="str">
        <f>'DOE25'!A2</f>
        <v>Farmington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2"/>
      <c r="O29" s="212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8"/>
      <c r="AB29" s="20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8"/>
      <c r="AO29" s="20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8"/>
      <c r="BB29" s="208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8"/>
      <c r="BO29" s="208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8"/>
      <c r="CB29" s="208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8"/>
      <c r="CO29" s="208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8"/>
      <c r="DB29" s="208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8"/>
      <c r="DO29" s="208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8"/>
      <c r="EB29" s="208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8"/>
      <c r="EO29" s="208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8"/>
      <c r="FB29" s="208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8"/>
      <c r="FO29" s="208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8"/>
      <c r="GB29" s="208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8"/>
      <c r="GO29" s="208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8"/>
      <c r="HB29" s="208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8"/>
      <c r="HO29" s="208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8"/>
      <c r="IB29" s="208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8"/>
      <c r="IO29" s="208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9"/>
      <c r="B30" s="220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2"/>
      <c r="O30" s="212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8"/>
      <c r="AB30" s="20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8"/>
      <c r="AO30" s="20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8"/>
      <c r="BB30" s="208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8"/>
      <c r="BO30" s="208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8"/>
      <c r="CB30" s="208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8"/>
      <c r="CO30" s="208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8"/>
      <c r="DB30" s="208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8"/>
      <c r="DO30" s="208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8"/>
      <c r="EB30" s="208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8"/>
      <c r="EO30" s="208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8"/>
      <c r="FB30" s="208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8"/>
      <c r="FO30" s="208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8"/>
      <c r="GB30" s="208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8"/>
      <c r="GO30" s="208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8"/>
      <c r="HB30" s="208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8"/>
      <c r="HO30" s="208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8"/>
      <c r="IB30" s="208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8"/>
      <c r="IO30" s="208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9"/>
      <c r="B31" s="220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2"/>
      <c r="O31" s="212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8"/>
      <c r="AB31" s="20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8"/>
      <c r="AO31" s="20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8"/>
      <c r="BB31" s="208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8"/>
      <c r="BO31" s="208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8"/>
      <c r="CB31" s="208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8"/>
      <c r="CO31" s="208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8"/>
      <c r="DB31" s="208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8"/>
      <c r="DO31" s="208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8"/>
      <c r="EB31" s="208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8"/>
      <c r="EO31" s="208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8"/>
      <c r="FB31" s="208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8"/>
      <c r="FO31" s="208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8"/>
      <c r="GB31" s="208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8"/>
      <c r="GO31" s="208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8"/>
      <c r="HB31" s="208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8"/>
      <c r="HO31" s="208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8"/>
      <c r="IB31" s="208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8"/>
      <c r="IO31" s="208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9"/>
      <c r="B32" s="220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9"/>
      <c r="AO32" s="220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9"/>
      <c r="BB32" s="220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9"/>
      <c r="BO32" s="220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9"/>
      <c r="CB32" s="220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9"/>
      <c r="CO32" s="220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9"/>
      <c r="DB32" s="220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9"/>
      <c r="DO32" s="220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9"/>
      <c r="EB32" s="220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9"/>
      <c r="EO32" s="220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9"/>
      <c r="FB32" s="220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9"/>
      <c r="FO32" s="220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9"/>
      <c r="GB32" s="220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9"/>
      <c r="GO32" s="220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9"/>
      <c r="HB32" s="220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9"/>
      <c r="HO32" s="220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9"/>
      <c r="IB32" s="220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9"/>
      <c r="IO32" s="220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9"/>
      <c r="B33" s="220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2"/>
      <c r="O38" s="212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8"/>
      <c r="AB38" s="20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8"/>
      <c r="AO38" s="20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8"/>
      <c r="BB38" s="208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8"/>
      <c r="BO38" s="208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8"/>
      <c r="CB38" s="208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8"/>
      <c r="CO38" s="208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8"/>
      <c r="DB38" s="208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8"/>
      <c r="DO38" s="208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8"/>
      <c r="EB38" s="208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8"/>
      <c r="EO38" s="208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8"/>
      <c r="FB38" s="208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8"/>
      <c r="FO38" s="208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8"/>
      <c r="GB38" s="208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8"/>
      <c r="GO38" s="208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8"/>
      <c r="HB38" s="208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8"/>
      <c r="HO38" s="208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8"/>
      <c r="IB38" s="208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8"/>
      <c r="IO38" s="208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9"/>
      <c r="B39" s="220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2"/>
      <c r="O39" s="212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8"/>
      <c r="AB39" s="20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8"/>
      <c r="AO39" s="20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8"/>
      <c r="BB39" s="208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8"/>
      <c r="BO39" s="208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8"/>
      <c r="CB39" s="208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8"/>
      <c r="CO39" s="208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8"/>
      <c r="DB39" s="208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8"/>
      <c r="DO39" s="208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8"/>
      <c r="EB39" s="208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8"/>
      <c r="EO39" s="208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8"/>
      <c r="FB39" s="208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8"/>
      <c r="FO39" s="208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8"/>
      <c r="GB39" s="208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8"/>
      <c r="GO39" s="208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8"/>
      <c r="HB39" s="208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8"/>
      <c r="HO39" s="208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8"/>
      <c r="IB39" s="208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8"/>
      <c r="IO39" s="208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9"/>
      <c r="B40" s="220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2"/>
      <c r="O40" s="212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8"/>
      <c r="AB40" s="20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8"/>
      <c r="AO40" s="20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8"/>
      <c r="BB40" s="208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8"/>
      <c r="BO40" s="208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8"/>
      <c r="CB40" s="208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8"/>
      <c r="CO40" s="208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8"/>
      <c r="DB40" s="208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8"/>
      <c r="DO40" s="208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8"/>
      <c r="EB40" s="208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8"/>
      <c r="EO40" s="208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8"/>
      <c r="FB40" s="208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8"/>
      <c r="FO40" s="208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8"/>
      <c r="GB40" s="208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8"/>
      <c r="GO40" s="208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8"/>
      <c r="HB40" s="208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8"/>
      <c r="HO40" s="208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8"/>
      <c r="IB40" s="208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8"/>
      <c r="IO40" s="208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9"/>
      <c r="B41" s="220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9"/>
      <c r="B60" s="220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9"/>
      <c r="B61" s="220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9"/>
      <c r="B62" s="220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9"/>
      <c r="B63" s="220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9"/>
      <c r="B64" s="220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9"/>
      <c r="B65" s="220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9"/>
      <c r="B66" s="220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9"/>
      <c r="B67" s="220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9"/>
      <c r="B68" s="220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9"/>
      <c r="B69" s="22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1"/>
      <c r="B70" s="222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303" t="s">
        <v>848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2"/>
      <c r="B74" s="212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2"/>
      <c r="B75" s="212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2"/>
      <c r="B76" s="212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2"/>
      <c r="B77" s="212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2"/>
      <c r="B78" s="212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2"/>
      <c r="B79" s="212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2"/>
      <c r="B80" s="212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2"/>
      <c r="B81" s="212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2"/>
      <c r="B82" s="212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2"/>
      <c r="B83" s="212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2"/>
      <c r="B84" s="212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2"/>
      <c r="B85" s="212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2"/>
      <c r="B86" s="212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2"/>
      <c r="B87" s="212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2"/>
      <c r="B88" s="212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2"/>
      <c r="B89" s="212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2"/>
      <c r="B90" s="212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2012-10-31T19:39:34Z</cp:lastPrinted>
  <dcterms:created xsi:type="dcterms:W3CDTF">1997-12-04T19:04:30Z</dcterms:created>
  <dcterms:modified xsi:type="dcterms:W3CDTF">2012-11-21T14:30:00Z</dcterms:modified>
</cp:coreProperties>
</file>