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F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4" i="13" l="1"/>
  <c r="H13" i="1" l="1"/>
  <c r="D11" i="13" l="1"/>
  <c r="C19" i="12"/>
  <c r="B19" i="12"/>
  <c r="B20" i="12"/>
  <c r="B10" i="12"/>
  <c r="B11" i="12"/>
  <c r="G14" i="1"/>
  <c r="H574" i="1"/>
  <c r="G530" i="1"/>
  <c r="F530" i="1"/>
  <c r="H527" i="1"/>
  <c r="H525" i="1"/>
  <c r="J520" i="1"/>
  <c r="I520" i="1"/>
  <c r="H520" i="1"/>
  <c r="G520" i="1"/>
  <c r="F520" i="1"/>
  <c r="F501" i="1"/>
  <c r="F497" i="1"/>
  <c r="H158" i="1" l="1"/>
  <c r="H154" i="1"/>
  <c r="H153" i="1"/>
  <c r="J276" i="1"/>
  <c r="I276" i="1"/>
  <c r="H276" i="1"/>
  <c r="G276" i="1"/>
  <c r="F276" i="1"/>
  <c r="H275" i="1"/>
  <c r="G275" i="1"/>
  <c r="F275" i="1"/>
  <c r="H207" i="1"/>
  <c r="J206" i="1"/>
  <c r="I206" i="1"/>
  <c r="H206" i="1"/>
  <c r="G206" i="1"/>
  <c r="F206" i="1"/>
  <c r="K204" i="1"/>
  <c r="I204" i="1"/>
  <c r="H204" i="1"/>
  <c r="G204" i="1"/>
  <c r="F204" i="1"/>
  <c r="F203" i="1"/>
  <c r="K203" i="1"/>
  <c r="I203" i="1"/>
  <c r="H203" i="1"/>
  <c r="G203" i="1"/>
  <c r="J202" i="1"/>
  <c r="I202" i="1"/>
  <c r="H202" i="1"/>
  <c r="G202" i="1"/>
  <c r="F202" i="1"/>
  <c r="H201" i="1"/>
  <c r="I201" i="1"/>
  <c r="G201" i="1"/>
  <c r="F201" i="1"/>
  <c r="H199" i="1"/>
  <c r="G199" i="1"/>
  <c r="F199" i="1"/>
  <c r="G197" i="1"/>
  <c r="J197" i="1"/>
  <c r="I197" i="1"/>
  <c r="H197" i="1"/>
  <c r="F197" i="1"/>
  <c r="I196" i="1"/>
  <c r="G196" i="1"/>
  <c r="F196" i="1"/>
  <c r="H243" i="1"/>
  <c r="H237" i="1"/>
  <c r="F109" i="1" l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/>
  <c r="G33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C90" i="2" s="1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I256" i="1" s="1"/>
  <c r="I270" i="1" s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G639" i="1" s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J616" i="1" s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K256" i="1"/>
  <c r="K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41" i="1" l="1"/>
  <c r="D50" i="2"/>
  <c r="F544" i="1"/>
  <c r="J648" i="1"/>
  <c r="C127" i="2"/>
  <c r="F659" i="1"/>
  <c r="L256" i="1"/>
  <c r="L270" i="1" s="1"/>
  <c r="G631" i="1" s="1"/>
  <c r="J631" i="1" s="1"/>
  <c r="A22" i="12"/>
  <c r="L361" i="1"/>
  <c r="F139" i="1"/>
  <c r="C80" i="2"/>
  <c r="C103" i="2" s="1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J270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J637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C6" i="10" s="1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J647" i="1" l="1"/>
  <c r="C27" i="10"/>
  <c r="G634" i="1"/>
  <c r="J634" i="1" s="1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C28" i="10" l="1"/>
  <c r="D27" i="10" s="1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23" i="10" l="1"/>
  <c r="D24" i="10"/>
  <c r="D22" i="10"/>
  <c r="D25" i="10"/>
  <c r="C30" i="10"/>
  <c r="D17" i="10"/>
  <c r="D11" i="10"/>
  <c r="D15" i="10"/>
  <c r="D26" i="10"/>
  <c r="D18" i="10"/>
  <c r="D13" i="10"/>
  <c r="D20" i="10"/>
  <c r="D10" i="10"/>
  <c r="D12" i="10"/>
  <c r="D19" i="10"/>
  <c r="D16" i="10"/>
  <c r="D21" i="10"/>
  <c r="D41" i="10"/>
  <c r="I666" i="1"/>
  <c r="I671" i="1"/>
  <c r="C7" i="10" s="1"/>
  <c r="G671" i="1"/>
  <c r="G666" i="1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<sst xmlns="http://schemas.openxmlformats.org/spreadsheetml/2006/main" count="3949" uniqueCount="915">
  <si>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</si>
  <si>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</si>
  <si>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</si>
  <si>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</si>
  <si>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</si>
  <si>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</si>
  <si>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</si>
  <si>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</si>
  <si>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</si>
  <si>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</si>
  <si>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</si>
  <si>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</si>
  <si>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</si>
  <si>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</si>
  <si>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</si>
  <si>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</si>
  <si>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</si>
  <si>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</si>
  <si>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</si>
  <si>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</si>
  <si>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</si>
  <si>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</si>
  <si>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</si>
  <si>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</si>
  <si>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</si>
  <si>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</si>
  <si>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</si>
  <si>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</si>
  <si>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</si>
  <si>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</si>
  <si>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</si>
  <si>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</si>
  <si>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</si>
  <si>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</si>
  <si>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</si>
  <si>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</si>
  <si>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</si>
  <si>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</si>
  <si>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</si>
  <si>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</si>
  <si>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</si>
  <si>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</si>
  <si>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</si>
  <si>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</si>
  <si>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</si>
  <si>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</si>
  <si>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</si>
  <si>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</si>
  <si>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</si>
  <si>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</si>
  <si>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</si>
  <si>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</si>
  <si>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</si>
  <si>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</si>
  <si>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</si>
  <si>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</si>
  <si>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</si>
  <si>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</si>
  <si>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</si>
  <si>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</si>
  <si>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</si>
  <si>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</si>
  <si>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</si>
  <si>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</si>
  <si>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</si>
  <si>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</si>
  <si>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</si>
  <si>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</si>
  <si>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</si>
  <si>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</si>
  <si>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</si>
  <si>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</si>
  <si>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</si>
  <si>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</si>
  <si>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</si>
  <si>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</si>
  <si>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</si>
  <si>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</si>
  <si>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</si>
  <si>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</si>
  <si>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</si>
  <si>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</si>
  <si>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</si>
  <si>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</si>
  <si>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</si>
  <si>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</si>
  <si>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</si>
  <si>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</si>
  <si>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</si>
  <si>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</si>
  <si>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</si>
  <si>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</si>
  <si>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</si>
  <si>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</si>
  <si>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</si>
  <si>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</si>
  <si>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</si>
  <si>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</si>
  <si>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</si>
  <si>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</si>
  <si>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</si>
  <si>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</si>
  <si>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</si>
  <si>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</si>
  <si>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</si>
  <si>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</si>
  <si>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</si>
  <si>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</si>
  <si>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</si>
  <si>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</si>
  <si>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</si>
  <si>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</si>
  <si>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</si>
  <si>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</si>
  <si>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</si>
  <si>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</si>
  <si>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</si>
  <si>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</si>
  <si>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</si>
  <si>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</si>
  <si>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</si>
  <si>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</si>
  <si>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</si>
  <si>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</si>
  <si>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</si>
  <si>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</si>
  <si>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</si>
  <si>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</si>
  <si>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</si>
  <si>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</si>
  <si>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</si>
  <si>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</si>
  <si>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</si>
  <si>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</si>
  <si>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</si>
  <si>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</si>
  <si>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</si>
  <si>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</si>
  <si>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</si>
  <si>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</si>
  <si>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</si>
  <si>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</si>
  <si>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</si>
  <si>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</si>
  <si>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</si>
  <si>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</si>
  <si>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</si>
  <si>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</si>
  <si>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</si>
  <si>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</si>
  <si>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</si>
  <si>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</si>
  <si>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</si>
  <si>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</si>
  <si>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</si>
  <si>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</si>
  <si>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</si>
  <si>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</si>
  <si>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</si>
  <si>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</si>
  <si>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</si>
  <si>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</si>
  <si>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</si>
  <si>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</si>
  <si>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</si>
  <si>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</si>
  <si>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</si>
  <si>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</si>
  <si>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</si>
  <si>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</si>
  <si>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</si>
  <si>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</si>
  <si>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</si>
  <si>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</si>
  <si>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</si>
  <si>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</si>
  <si>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</si>
  <si>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</si>
  <si>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</si>
  <si>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</si>
  <si>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</si>
  <si>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</si>
  <si>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</si>
  <si>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</si>
  <si>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</si>
  <si>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</si>
  <si>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</si>
  <si>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</si>
  <si>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</si>
  <si>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</si>
  <si>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</si>
  <si>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</si>
  <si>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</si>
  <si>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</si>
  <si>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</si>
  <si>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</si>
  <si>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</si>
  <si>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</si>
  <si>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</si>
  <si>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</si>
  <si>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</si>
  <si>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</si>
  <si>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</si>
  <si>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</si>
  <si>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</si>
  <si>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</si>
  <si>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</si>
  <si>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</si>
  <si>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</si>
  <si>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</si>
  <si>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</si>
  <si>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</si>
  <si>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</si>
  <si>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</si>
  <si>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</si>
  <si>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</si>
  <si>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</si>
  <si>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</si>
  <si>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</si>
  <si>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</si>
  <si>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</si>
  <si>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</si>
  <si>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</si>
  <si>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</si>
  <si>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</si>
  <si>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</si>
  <si>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</si>
  <si>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</si>
  <si>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</si>
  <si>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</si>
  <si>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</si>
  <si>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</si>
  <si>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</si>
  <si>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</si>
  <si>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</si>
  <si>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</si>
  <si>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</si>
  <si>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</si>
  <si>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</si>
  <si>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</si>
  <si>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</si>
  <si>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</si>
  <si>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</si>
  <si>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</si>
  <si>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</si>
  <si>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</si>
  <si>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</si>
  <si>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</si>
  <si>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</si>
  <si>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</si>
  <si>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</si>
  <si>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</si>
  <si>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</si>
  <si>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</si>
  <si>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</si>
  <si>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</si>
  <si>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</si>
  <si>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</si>
  <si>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</si>
  <si>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</si>
  <si>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</si>
  <si>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</si>
  <si>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</si>
  <si>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</si>
  <si>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</si>
  <si>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</si>
  <si>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</si>
  <si>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</si>
  <si>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</si>
  <si>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</si>
  <si>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</si>
  <si>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</si>
  <si>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</si>
  <si>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</si>
  <si>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</si>
  <si>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</si>
  <si>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</si>
  <si>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</si>
  <si>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</si>
  <si>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</si>
  <si>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</si>
  <si>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</si>
  <si>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</si>
  <si>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</si>
  <si>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</si>
  <si>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</si>
  <si>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</si>
  <si>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</si>
  <si>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</si>
  <si>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</si>
  <si>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</si>
  <si>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</si>
  <si>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</si>
  <si>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</si>
  <si>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</si>
  <si>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</si>
  <si>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</si>
  <si>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</si>
  <si>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</si>
  <si>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</si>
  <si>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</si>
  <si>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</si>
  <si>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</si>
  <si>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</si>
  <si>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</si>
  <si>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</si>
  <si>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</si>
  <si>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</si>
  <si>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</si>
  <si>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</si>
  <si>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</si>
  <si>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</si>
  <si>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</si>
  <si>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</si>
  <si>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</si>
  <si>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</si>
  <si>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</si>
  <si>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</si>
  <si>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</si>
  <si>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</si>
  <si>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</si>
  <si>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</si>
  <si>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</si>
  <si>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</si>
  <si>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</si>
  <si>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</si>
  <si>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</si>
  <si>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</si>
  <si>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</si>
  <si>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</si>
  <si>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</si>
  <si>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</si>
  <si>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</si>
  <si>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</si>
  <si>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</si>
  <si>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</si>
  <si>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</si>
  <si>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</si>
  <si>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</si>
  <si>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</si>
  <si>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</si>
  <si>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</si>
  <si>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</si>
  <si>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</si>
  <si>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</si>
  <si>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</si>
  <si>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</si>
  <si>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</si>
  <si>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</si>
  <si>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</si>
  <si>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</si>
  <si>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</si>
  <si>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</si>
  <si>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</si>
  <si>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</si>
  <si>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</si>
  <si>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</si>
  <si>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</si>
  <si>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</si>
  <si>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</si>
  <si>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</si>
  <si>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</si>
  <si>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</si>
  <si>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</si>
  <si>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</si>
  <si>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</si>
  <si>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</si>
  <si>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</si>
  <si>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</si>
  <si>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</si>
  <si>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</si>
  <si>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</si>
  <si>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</si>
  <si>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</si>
  <si>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</si>
  <si>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</si>
  <si>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</si>
  <si>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</si>
  <si>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</si>
  <si>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</si>
  <si>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</si>
  <si>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</si>
  <si>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</si>
  <si>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</si>
  <si>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</si>
  <si>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</si>
  <si>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</si>
  <si>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</si>
  <si>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</si>
  <si>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</si>
  <si>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</si>
  <si>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</si>
  <si>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</si>
  <si>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</si>
  <si>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</si>
  <si>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</si>
  <si>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</si>
  <si>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</si>
  <si>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</si>
  <si>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</si>
  <si>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</si>
  <si>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</si>
  <si>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</si>
  <si>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</si>
  <si>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</si>
  <si>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</si>
  <si>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</si>
  <si>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</si>
  <si>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</si>
  <si>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</si>
  <si>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</si>
  <si>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</si>
  <si>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</si>
  <si>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</si>
  <si>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</si>
  <si>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</si>
  <si>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</si>
  <si>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</si>
  <si>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</si>
  <si>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</si>
  <si>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</si>
  <si>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</si>
  <si>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</si>
  <si>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</si>
  <si>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</si>
  <si>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</si>
  <si>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</si>
  <si>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</si>
  <si>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</si>
  <si>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</si>
  <si>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</si>
  <si>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</si>
  <si>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</si>
  <si>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</si>
  <si>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</si>
  <si>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</si>
  <si>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</si>
  <si>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</si>
  <si>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</si>
  <si>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</si>
  <si>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</si>
  <si>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</si>
  <si>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</si>
  <si>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</si>
  <si>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</si>
  <si>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</si>
  <si>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</si>
  <si>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</si>
  <si>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</si>
  <si>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</si>
  <si>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</si>
  <si>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</si>
  <si>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</si>
  <si>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</si>
  <si>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</si>
  <si>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</si>
  <si>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</si>
  <si>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</si>
  <si>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</si>
  <si>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</si>
  <si>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</si>
  <si>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</si>
  <si>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</si>
  <si>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</si>
  <si>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</si>
  <si>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</si>
  <si>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</si>
  <si>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</si>
  <si>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</si>
  <si>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</si>
  <si>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</si>
  <si>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</si>
  <si>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</si>
  <si>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</si>
  <si>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</si>
  <si>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</si>
  <si>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</si>
  <si>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</si>
  <si>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</si>
  <si>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</si>
  <si>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</si>
  <si>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</si>
  <si>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</si>
  <si>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</si>
  <si>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</si>
  <si>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</si>
  <si>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</si>
  <si>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</si>
  <si>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</si>
  <si>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</si>
  <si>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</si>
  <si>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</si>
  <si>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</si>
  <si>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</si>
  <si>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</si>
  <si>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</si>
  <si>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</si>
  <si>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</si>
  <si>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</si>
  <si>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</si>
  <si>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</si>
  <si>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</si>
  <si>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</si>
  <si>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</si>
  <si>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</si>
  <si>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</si>
  <si>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</si>
  <si>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</si>
  <si>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</si>
  <si>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</si>
  <si>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</si>
  <si>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</si>
  <si>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</si>
  <si>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</si>
  <si>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</si>
  <si>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</si>
  <si>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</si>
  <si>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</si>
  <si>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</si>
  <si>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</si>
  <si>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</si>
  <si>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</si>
  <si>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</si>
  <si>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</si>
  <si>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</si>
  <si>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</si>
  <si>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</si>
  <si>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</si>
  <si>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</si>
  <si>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</si>
  <si>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</si>
  <si>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</si>
  <si>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</si>
  <si>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</si>
  <si>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</si>
  <si>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</si>
  <si>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</si>
  <si>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</si>
  <si>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</si>
  <si>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</si>
  <si>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</si>
  <si>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</si>
  <si>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</si>
  <si>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</si>
  <si>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</si>
  <si>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</si>
  <si>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</si>
  <si>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</si>
  <si>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</si>
  <si>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</si>
  <si>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</si>
  <si>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</si>
  <si>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</si>
  <si>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</si>
  <si>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</si>
  <si>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</si>
  <si>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</si>
  <si>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</si>
  <si>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</si>
  <si>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</si>
  <si>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</si>
  <si>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</si>
  <si>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</si>
  <si>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</si>
  <si>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</si>
  <si>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</si>
  <si>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</si>
  <si>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</si>
  <si>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</si>
  <si>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</si>
  <si>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</si>
  <si>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</si>
  <si>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</si>
  <si>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</si>
  <si>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</si>
  <si>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</si>
  <si>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</si>
  <si>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</si>
  <si>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</si>
  <si>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</si>
  <si>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</si>
  <si>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</si>
  <si>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</si>
  <si>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</si>
  <si>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</si>
  <si>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</si>
  <si>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</si>
  <si>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</si>
  <si>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</si>
  <si>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</si>
  <si>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</si>
  <si>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</si>
  <si>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</si>
  <si>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</si>
  <si>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</si>
  <si>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</si>
  <si>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</si>
  <si>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</si>
  <si>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</si>
  <si>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</si>
  <si>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</si>
  <si>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</si>
  <si>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</si>
  <si>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</si>
  <si>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</si>
  <si>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</si>
  <si>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</si>
  <si>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</si>
  <si>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</si>
  <si>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</si>
  <si>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</si>
  <si>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</si>
  <si>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</si>
  <si>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</si>
  <si>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</si>
  <si>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</si>
  <si>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</si>
  <si>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</si>
  <si>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</si>
  <si>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</si>
  <si>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</si>
  <si>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</si>
  <si>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</si>
  <si>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</si>
  <si>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</si>
  <si>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</si>
  <si>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</si>
  <si>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</si>
  <si>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</si>
  <si>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</si>
  <si>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</si>
  <si>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</si>
  <si>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</si>
  <si>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</si>
  <si>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</si>
  <si>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</si>
  <si>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</si>
  <si>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</si>
  <si>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</si>
  <si>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</si>
  <si>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</si>
  <si>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</si>
  <si>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</si>
  <si>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</si>
  <si>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</si>
  <si>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</si>
  <si>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</si>
  <si>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</si>
  <si>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</si>
  <si>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</si>
  <si>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</si>
  <si>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</si>
  <si>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</si>
  <si>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</si>
  <si>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</si>
  <si>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</si>
  <si>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</si>
  <si>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</si>
  <si>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</si>
  <si>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</si>
  <si>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</si>
  <si>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</si>
  <si>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</si>
  <si>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</si>
  <si>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</si>
  <si>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</si>
  <si>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</si>
  <si>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</si>
  <si>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</si>
  <si>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</si>
  <si>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</si>
  <si>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</si>
  <si>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</si>
  <si>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</si>
  <si>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</si>
  <si>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</si>
  <si>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</si>
  <si>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</si>
  <si>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</si>
  <si>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</si>
  <si>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</si>
  <si>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</si>
  <si>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</si>
  <si>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</si>
  <si>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</si>
  <si>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</si>
  <si>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</si>
  <si>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</si>
  <si>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</si>
  <si>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</si>
  <si>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</si>
  <si>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</si>
  <si>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</si>
  <si>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</si>
  <si>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</si>
  <si>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</si>
  <si>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</si>
  <si>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</si>
  <si>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</si>
  <si>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</si>
  <si>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</si>
  <si>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</si>
  <si>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</si>
  <si>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</si>
  <si>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</si>
  <si>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</si>
  <si>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</si>
  <si>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</si>
  <si>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</si>
  <si>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</si>
  <si>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</si>
  <si>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</si>
  <si>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</si>
  <si>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</si>
  <si>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</si>
  <si>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</si>
  <si>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</si>
  <si>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</si>
  <si>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</si>
  <si>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</si>
  <si>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</si>
  <si>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</si>
  <si>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</si>
  <si>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</si>
  <si>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</si>
  <si>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</si>
  <si>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</si>
  <si>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</si>
  <si>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</si>
  <si>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</si>
  <si>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</si>
  <si>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</si>
  <si>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</si>
  <si>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</si>
  <si>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</si>
  <si>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</si>
  <si>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</si>
  <si>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</si>
  <si>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</si>
  <si>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</si>
  <si>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</si>
  <si>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</si>
  <si>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</si>
  <si>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</si>
  <si>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</si>
  <si>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</si>
  <si>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</si>
  <si>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</si>
  <si>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</si>
  <si>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</si>
  <si>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</si>
  <si>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</si>
  <si>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</si>
  <si>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</si>
  <si>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</si>
  <si>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</si>
  <si>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</si>
  <si>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</si>
  <si>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</si>
  <si>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</si>
  <si>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</si>
  <si>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</si>
  <si>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</si>
  <si>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</si>
  <si>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</si>
  <si>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</si>
  <si>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</si>
  <si>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</si>
  <si>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</si>
  <si>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</si>
  <si>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</si>
  <si>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</si>
  <si>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</si>
  <si>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</si>
  <si>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</si>
  <si>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</si>
  <si>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</si>
  <si>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</si>
  <si>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</si>
  <si>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</si>
  <si>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</si>
  <si>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</si>
  <si>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</si>
  <si>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</si>
  <si>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</si>
  <si>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</si>
  <si>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</si>
  <si>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</si>
  <si>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</si>
  <si>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</si>
  <si>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</si>
  <si>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</si>
  <si>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</si>
  <si>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</si>
  <si>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</si>
  <si>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</si>
  <si>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</si>
  <si>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</si>
  <si>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</si>
  <si>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</si>
  <si>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</si>
  <si>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</si>
  <si>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</si>
  <si>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</si>
  <si>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</si>
  <si>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</si>
  <si>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</si>
  <si>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</si>
  <si>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</si>
  <si>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</si>
  <si>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</si>
  <si>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</si>
  <si>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</si>
  <si>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</si>
  <si>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</si>
  <si>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</si>
  <si>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</si>
  <si>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</si>
  <si>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</si>
  <si>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</si>
  <si>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</si>
  <si>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</si>
  <si>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</si>
  <si>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</si>
  <si>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</si>
  <si>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</si>
  <si>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</si>
  <si>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</si>
  <si>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</si>
  <si>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</si>
  <si>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</si>
  <si>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</si>
  <si>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</si>
  <si>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</si>
  <si>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</si>
  <si>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</si>
  <si>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</si>
  <si>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</si>
  <si>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</si>
  <si>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</si>
  <si>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</si>
  <si>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</si>
  <si>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</si>
  <si>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</si>
  <si>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</si>
  <si>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</si>
  <si>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</si>
  <si>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</si>
  <si>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</si>
  <si>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</si>
  <si>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</si>
  <si>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</si>
  <si>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</si>
  <si>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</si>
  <si>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</si>
  <si>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</si>
  <si>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</si>
  <si>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</si>
  <si>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</si>
  <si>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</si>
  <si>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</si>
  <si>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</si>
  <si>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</si>
  <si>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</si>
  <si>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</si>
  <si>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</si>
  <si>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</si>
  <si>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</si>
  <si>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</si>
  <si>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</si>
  <si>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</si>
  <si>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</si>
  <si>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</si>
  <si>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</si>
  <si>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</si>
  <si>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</si>
  <si>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</si>
  <si>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</si>
  <si>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</si>
  <si>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</si>
  <si>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</si>
  <si>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</si>
  <si>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</si>
  <si>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</si>
  <si>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</si>
  <si>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</si>
  <si>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</si>
  <si>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</si>
  <si>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</si>
  <si>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</si>
  <si>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</si>
  <si>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</si>
  <si>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</si>
  <si>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</si>
  <si>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</si>
  <si>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</si>
  <si>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</si>
  <si>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</si>
  <si>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</si>
  <si>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</si>
  <si>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</si>
  <si>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</si>
  <si>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</si>
  <si>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</si>
  <si>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</si>
  <si>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</si>
  <si>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</si>
  <si>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</si>
  <si>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</si>
  <si>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08/03</t>
  </si>
  <si>
    <t>08/04</t>
  </si>
  <si>
    <t>07/09</t>
  </si>
  <si>
    <t>08/13</t>
  </si>
  <si>
    <t>08/14</t>
  </si>
  <si>
    <t>Fremont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</si>
</sst>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zoomScale="80" zoomScaleNormal="80" workbookViewId="0">
      <pane xSplit="5" ySplit="3" topLeftCell="F206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914</v>
      </c>
      <c r="B2" s="21">
        <v>189</v>
      </c>
      <c r="C2" s="21">
        <v>189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140269.62</v>
      </c>
      <c r="G9" s="18">
        <v>106491.99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113513.08</v>
      </c>
      <c r="G10" s="18"/>
      <c r="H10" s="18"/>
      <c r="I10" s="18"/>
      <c r="J10" s="67">
        <f>SUM(I439)</f>
        <v>113513.08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45342.22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8131.56</v>
      </c>
      <c r="G13" s="18">
        <v>4206.08</v>
      </c>
      <c r="H13" s="18">
        <f>49418.29+74068</f>
        <v>123486.29000000001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7366</v>
      </c>
      <c r="G14" s="18">
        <f>11050.4+271.37</f>
        <v>11321.77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314622.48000000004</v>
      </c>
      <c r="G19" s="41">
        <f>SUM(G9:G18)</f>
        <v>122019.84000000001</v>
      </c>
      <c r="H19" s="41">
        <f>SUM(H9:H18)</f>
        <v>123486.29000000001</v>
      </c>
      <c r="I19" s="41">
        <f>SUM(I9:I18)</f>
        <v>0</v>
      </c>
      <c r="J19" s="41">
        <f>SUM(J9:J18)</f>
        <v>113513.08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8032.78</v>
      </c>
      <c r="G22" s="18">
        <v>115357.28</v>
      </c>
      <c r="H22" s="18">
        <v>42015.83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22686.11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127699.03</v>
      </c>
      <c r="G24" s="18">
        <v>4670.72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2789.12</v>
      </c>
      <c r="G28" s="18"/>
      <c r="H28" s="18">
        <v>7402.46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36.44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1991.84</v>
      </c>
      <c r="H30" s="18">
        <v>74068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161243.47999999998</v>
      </c>
      <c r="G32" s="41">
        <f>SUM(G22:G31)</f>
        <v>122019.84</v>
      </c>
      <c r="H32" s="41">
        <f>SUM(H22:H31)</f>
        <v>123486.29000000001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113513.08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143379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153379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113513.08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314622.48</v>
      </c>
      <c r="G51" s="41">
        <f>G50+G32</f>
        <v>122019.84</v>
      </c>
      <c r="H51" s="41">
        <f>H50+H32</f>
        <v>123486.29000000001</v>
      </c>
      <c r="I51" s="41">
        <f>I50+I32</f>
        <v>0</v>
      </c>
      <c r="J51" s="41">
        <f>J50+J32</f>
        <v>113513.08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7460710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7460710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19447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19447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527.54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105988.47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12587.11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105+8871.68</f>
        <v>8976.68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22091.33</v>
      </c>
      <c r="G110" s="41">
        <f>SUM(G95:G109)</f>
        <v>105988.47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7502248.3300000001</v>
      </c>
      <c r="G111" s="41">
        <f>G59+G110</f>
        <v>105988.47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1782433.64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846787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1544.36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2630764.9999999995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88485.51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82045.100000000006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1973.37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170530.61</v>
      </c>
      <c r="G135" s="41">
        <f>SUM(G122:G134)</f>
        <v>1973.37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5804.07</v>
      </c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2807099.6799999997</v>
      </c>
      <c r="G139" s="41">
        <f>G120+SUM(G135:G136)</f>
        <v>1973.37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57679.64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57679.64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2259.88+63703.55</f>
        <v>65963.430000000008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8797</f>
        <v>8797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53154.9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134412.54+9918.12+4381.28+2326.08+21154.72</f>
        <v>172192.74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46957.67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862.5</v>
      </c>
      <c r="G160" s="18"/>
      <c r="H160" s="18">
        <v>41252.199999999997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47820.17</v>
      </c>
      <c r="G161" s="41">
        <f>SUM(G149:G160)</f>
        <v>53154.9</v>
      </c>
      <c r="H161" s="41">
        <f>SUM(H149:H160)</f>
        <v>288205.37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105499.81</v>
      </c>
      <c r="G168" s="41">
        <f>G146+G161+SUM(G162:G167)</f>
        <v>53154.9</v>
      </c>
      <c r="H168" s="41">
        <f>H146+H161+SUM(H162:H167)</f>
        <v>288205.37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10414847.82</v>
      </c>
      <c r="G192" s="47">
        <f>G111+G139+G168+G191</f>
        <v>161116.74</v>
      </c>
      <c r="H192" s="47">
        <f>H111+H139+H168+H191</f>
        <v>288205.37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1572587.89+73617.86+8540+18340</f>
        <v>1673085.75</v>
      </c>
      <c r="G196" s="18">
        <f>494287.06+14571.53+1658.88+121344.57+177727.2+13883.64+6457.32</f>
        <v>829930.2</v>
      </c>
      <c r="H196" s="18"/>
      <c r="I196" s="18">
        <f>11646.59+8284.34+69264.67+11+20914.14+5707.9</f>
        <v>115828.64</v>
      </c>
      <c r="J196" s="18"/>
      <c r="K196" s="18">
        <v>210</v>
      </c>
      <c r="L196" s="19">
        <f>SUM(F196:K196)</f>
        <v>2619054.5900000003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1109.34+247806.2+43829+277143.33+32553.88+13057.5</f>
        <v>615499.25000000012</v>
      </c>
      <c r="G197" s="18">
        <f>31347.22+8213.28+522+48867.05+41071.01+5565.97+2824.53</f>
        <v>138411.06</v>
      </c>
      <c r="H197" s="18">
        <f>255+40732.25+103447.02</f>
        <v>144434.27000000002</v>
      </c>
      <c r="I197" s="18">
        <f>2175.41+598.98+1597.14</f>
        <v>4371.53</v>
      </c>
      <c r="J197" s="18">
        <f>3865.79+1000</f>
        <v>4865.79</v>
      </c>
      <c r="K197" s="18"/>
      <c r="L197" s="19">
        <f>SUM(F197:K197)</f>
        <v>907581.90000000014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19000+14650.01</f>
        <v>33650.01</v>
      </c>
      <c r="G199" s="18">
        <f>2600.16+3700.54</f>
        <v>6300.7</v>
      </c>
      <c r="H199" s="18">
        <f>2737.5+575</f>
        <v>3312.5</v>
      </c>
      <c r="I199" s="18">
        <v>2739.66</v>
      </c>
      <c r="J199" s="18">
        <v>104.95</v>
      </c>
      <c r="K199" s="18"/>
      <c r="L199" s="19">
        <f>SUM(F199:K199)</f>
        <v>46107.819999999992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87151+57545.33+56201+147677+108296.26</f>
        <v>456870.59</v>
      </c>
      <c r="G201" s="18">
        <f>27658.44+631.1+89.46+6420.65+9848.22+893+430.02+14679.3+694.08+59.13+4349.78+3885.43+595+254.93+16074.01+556.2+61.56+4311.56+506+230.01+40932.77+1388.16+160.92+10778.69+16687.51+1310+605.48+47534.32+933.98+115.56+7434.42+10881.46+893+432.91</f>
        <v>232317.06000000003</v>
      </c>
      <c r="H201" s="18">
        <f>600+16384.75+2646.66+8366.24+1552.5+28246.96+10631.88+1348.02+4177</f>
        <v>73954.010000000009</v>
      </c>
      <c r="I201" s="18">
        <f>1436.09+1584.12+270+600+968.23+558.9+98.99+462.36+407.54</f>
        <v>6386.23</v>
      </c>
      <c r="J201" s="18"/>
      <c r="K201" s="18">
        <v>135</v>
      </c>
      <c r="L201" s="19">
        <f t="shared" ref="L201:L207" si="0">SUM(F201:K201)</f>
        <v>769662.89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5996+38471+50000</f>
        <v>94467</v>
      </c>
      <c r="G202" s="18">
        <f>313.81+383.18+28929+2018+7479.99+2828.83+700+462.72+42.12+2996.74+4347.2+327+157.75+9463.9+556.2+54+3802.44+4527.15+417+204.99</f>
        <v>70012.02</v>
      </c>
      <c r="H202" s="18">
        <f>806.25+408.99</f>
        <v>1215.24</v>
      </c>
      <c r="I202" s="18">
        <f>313.55+1937.7+644.56+1529+3768.68+5980.95</f>
        <v>14174.439999999999</v>
      </c>
      <c r="J202" s="18">
        <f>91532.61+40297.99</f>
        <v>131830.6</v>
      </c>
      <c r="K202" s="18"/>
      <c r="L202" s="19">
        <f t="shared" si="0"/>
        <v>311699.30000000005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8000+150+1300+150+300+86523.6+85000+123147+35211.57</f>
        <v>339782.17</v>
      </c>
      <c r="G203" s="18">
        <f>734.42+11293.11+1018.92+185.76+13254.64+7793.3+1866+1488+703.01+1526.19+33383.58+1388.94+127.98+11922.84+3141.61+14155.83+833.44+486.94+285+2342</f>
        <v>107931.51000000001</v>
      </c>
      <c r="H203" s="18">
        <f>2742.75+18820.12+18477.18+1073.42+11695+300+1536.2+264.53+4647.11+3412.5+21048+1154.72+623.62+1017.78+5966.19</f>
        <v>92779.12</v>
      </c>
      <c r="I203" s="18">
        <f>107.92+3228.79+3501.87+850+51.98+494.57</f>
        <v>8235.1299999999992</v>
      </c>
      <c r="J203" s="18"/>
      <c r="K203" s="18">
        <f>3373.83+2185.75+7541.11+670+4931.92</f>
        <v>18702.61</v>
      </c>
      <c r="L203" s="19">
        <f t="shared" si="0"/>
        <v>567430.54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143000+58593.61</f>
        <v>201593.61</v>
      </c>
      <c r="G204" s="18">
        <f>49465.99+1628.82+143.73+15066.96+5189.34+16403.31+1934.53+918.22+870+199</f>
        <v>91819.9</v>
      </c>
      <c r="H204" s="18">
        <f>23679.98+250+7947.15+4989.42+392.68</f>
        <v>37259.229999999996</v>
      </c>
      <c r="I204" s="18">
        <f>12843.58</f>
        <v>12843.58</v>
      </c>
      <c r="J204" s="18"/>
      <c r="K204" s="18">
        <f>720+1378.99</f>
        <v>2098.9899999999998</v>
      </c>
      <c r="L204" s="19">
        <f t="shared" si="0"/>
        <v>345615.31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4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119959.81</f>
        <v>119959.81</v>
      </c>
      <c r="G206" s="18">
        <f>36403.04+1481.64+57.24+8718.37+10780.13+1131.42+534.19</f>
        <v>59106.03</v>
      </c>
      <c r="H206" s="18">
        <f>502+1650+30+7664.33+18296.14+21638.21+1700+1138.92+150+571+600+2530+18683</f>
        <v>75153.600000000006</v>
      </c>
      <c r="I206" s="18">
        <f>19586.02+1014.57+2656.14+51823.45+57435.42+190</f>
        <v>132705.59999999998</v>
      </c>
      <c r="J206" s="18">
        <f>201.5+1402</f>
        <v>1603.5</v>
      </c>
      <c r="K206" s="18"/>
      <c r="L206" s="19">
        <f t="shared" si="0"/>
        <v>388528.54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247320+64080.05+3095+6811.46</f>
        <v>321306.51</v>
      </c>
      <c r="I207" s="18"/>
      <c r="J207" s="18"/>
      <c r="K207" s="18"/>
      <c r="L207" s="19">
        <f t="shared" si="0"/>
        <v>321306.51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3534908.1899999995</v>
      </c>
      <c r="G210" s="41">
        <f t="shared" si="1"/>
        <v>1535828.48</v>
      </c>
      <c r="H210" s="41">
        <f t="shared" si="1"/>
        <v>749414.48</v>
      </c>
      <c r="I210" s="41">
        <f t="shared" si="1"/>
        <v>297284.80999999994</v>
      </c>
      <c r="J210" s="41">
        <f t="shared" si="1"/>
        <v>138404.84</v>
      </c>
      <c r="K210" s="41">
        <f t="shared" si="1"/>
        <v>21146.6</v>
      </c>
      <c r="L210" s="41">
        <f t="shared" si="1"/>
        <v>6276987.3999999994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3197762.22</v>
      </c>
      <c r="I232" s="18"/>
      <c r="J232" s="18"/>
      <c r="K232" s="18"/>
      <c r="L232" s="19">
        <f>SUM(F232:K232)</f>
        <v>3197762.22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377226.13</v>
      </c>
      <c r="I233" s="18"/>
      <c r="J233" s="18"/>
      <c r="K233" s="18"/>
      <c r="L233" s="19">
        <f>SUM(F233:K233)</f>
        <v>377226.13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f>15045.83+9287.22</f>
        <v>24333.05</v>
      </c>
      <c r="I237" s="18"/>
      <c r="J237" s="18"/>
      <c r="K237" s="18"/>
      <c r="L237" s="19">
        <f t="shared" ref="L237:L243" si="4">SUM(F237:K237)</f>
        <v>24333.05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82440+114126.47</f>
        <v>196566.47</v>
      </c>
      <c r="I243" s="18"/>
      <c r="J243" s="18"/>
      <c r="K243" s="18"/>
      <c r="L243" s="19">
        <f t="shared" si="4"/>
        <v>196566.47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3795887.87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3795887.87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3534908.1899999995</v>
      </c>
      <c r="G256" s="41">
        <f t="shared" si="8"/>
        <v>1535828.48</v>
      </c>
      <c r="H256" s="41">
        <f t="shared" si="8"/>
        <v>4545302.3499999996</v>
      </c>
      <c r="I256" s="41">
        <f t="shared" si="8"/>
        <v>297284.80999999994</v>
      </c>
      <c r="J256" s="41">
        <f t="shared" si="8"/>
        <v>138404.84</v>
      </c>
      <c r="K256" s="41">
        <f t="shared" si="8"/>
        <v>21146.6</v>
      </c>
      <c r="L256" s="41">
        <f t="shared" si="8"/>
        <v>10072875.27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270000</v>
      </c>
      <c r="L259" s="19">
        <f>SUM(F259:K259)</f>
        <v>270000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18875</v>
      </c>
      <c r="L260" s="19">
        <f>SUM(F260:K260)</f>
        <v>18875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288875</v>
      </c>
      <c r="L269" s="41">
        <f t="shared" si="9"/>
        <v>288875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3534908.1899999995</v>
      </c>
      <c r="G270" s="42">
        <f t="shared" si="11"/>
        <v>1535828.48</v>
      </c>
      <c r="H270" s="42">
        <f t="shared" si="11"/>
        <v>4545302.3499999996</v>
      </c>
      <c r="I270" s="42">
        <f t="shared" si="11"/>
        <v>297284.80999999994</v>
      </c>
      <c r="J270" s="42">
        <f t="shared" si="11"/>
        <v>138404.84</v>
      </c>
      <c r="K270" s="42">
        <f t="shared" si="11"/>
        <v>310021.59999999998</v>
      </c>
      <c r="L270" s="42">
        <f t="shared" si="11"/>
        <v>10361750.27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2207.5+2487.5+48667.5</f>
        <v>53362.5</v>
      </c>
      <c r="G275" s="18">
        <f>267.88+700+3753.1+3944.72</f>
        <v>8665.6999999999989</v>
      </c>
      <c r="H275" s="18">
        <f>468+7150+6074</f>
        <v>13692</v>
      </c>
      <c r="I275" s="18"/>
      <c r="J275" s="18"/>
      <c r="K275" s="18"/>
      <c r="L275" s="19">
        <f>SUM(F275:K275)</f>
        <v>75720.2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86074.96+1400</f>
        <v>87474.96</v>
      </c>
      <c r="G276" s="18">
        <f>21094.87+237.06+6162.46+9726.48+445+463.71+320+169+107.13+700+192.82</f>
        <v>39618.529999999992</v>
      </c>
      <c r="H276" s="18">
        <f>8882.86+350+8805+4500+133.6+56+69</f>
        <v>22796.46</v>
      </c>
      <c r="I276" s="18">
        <f>137.83+6431.83+588.6+3188.79+433.26</f>
        <v>10780.31</v>
      </c>
      <c r="J276" s="18">
        <f>715.03+914+875</f>
        <v>2504.0299999999997</v>
      </c>
      <c r="K276" s="18"/>
      <c r="L276" s="19">
        <f>SUM(F276:K276)</f>
        <v>163174.28999999998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36821</v>
      </c>
      <c r="G278" s="18"/>
      <c r="H278" s="18"/>
      <c r="I278" s="18"/>
      <c r="J278" s="18"/>
      <c r="K278" s="18"/>
      <c r="L278" s="19">
        <f>SUM(F278:K278)</f>
        <v>36821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214.23</v>
      </c>
      <c r="I280" s="18"/>
      <c r="J280" s="18"/>
      <c r="K280" s="18"/>
      <c r="L280" s="19">
        <f t="shared" ref="L280:L286" si="12">SUM(F280:K280)</f>
        <v>214.23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>
        <v>447</v>
      </c>
      <c r="H281" s="18"/>
      <c r="I281" s="18">
        <v>1200</v>
      </c>
      <c r="J281" s="18"/>
      <c r="K281" s="18"/>
      <c r="L281" s="19">
        <f t="shared" si="12"/>
        <v>1647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>
        <v>197.58</v>
      </c>
      <c r="J283" s="18"/>
      <c r="K283" s="18"/>
      <c r="L283" s="19">
        <f t="shared" si="12"/>
        <v>197.58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177658.46000000002</v>
      </c>
      <c r="G289" s="42">
        <f t="shared" si="13"/>
        <v>48731.229999999989</v>
      </c>
      <c r="H289" s="42">
        <f t="shared" si="13"/>
        <v>36702.69</v>
      </c>
      <c r="I289" s="42">
        <f t="shared" si="13"/>
        <v>12177.89</v>
      </c>
      <c r="J289" s="42">
        <f t="shared" si="13"/>
        <v>2504.0299999999997</v>
      </c>
      <c r="K289" s="42">
        <f t="shared" si="13"/>
        <v>0</v>
      </c>
      <c r="L289" s="41">
        <f t="shared" si="13"/>
        <v>277774.3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177658.46000000002</v>
      </c>
      <c r="G337" s="41">
        <f t="shared" si="20"/>
        <v>48731.229999999989</v>
      </c>
      <c r="H337" s="41">
        <f t="shared" si="20"/>
        <v>36702.69</v>
      </c>
      <c r="I337" s="41">
        <f t="shared" si="20"/>
        <v>12177.89</v>
      </c>
      <c r="J337" s="41">
        <f t="shared" si="20"/>
        <v>2504.0299999999997</v>
      </c>
      <c r="K337" s="41">
        <f t="shared" si="20"/>
        <v>0</v>
      </c>
      <c r="L337" s="41">
        <f t="shared" si="20"/>
        <v>277774.3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177658.46000000002</v>
      </c>
      <c r="G351" s="41">
        <f>G337</f>
        <v>48731.229999999989</v>
      </c>
      <c r="H351" s="41">
        <f>H337</f>
        <v>36702.69</v>
      </c>
      <c r="I351" s="41">
        <f>I337</f>
        <v>12177.89</v>
      </c>
      <c r="J351" s="41">
        <f>J337</f>
        <v>2504.0299999999997</v>
      </c>
      <c r="K351" s="47">
        <f>K337+K350</f>
        <v>0</v>
      </c>
      <c r="L351" s="41">
        <f>L337+L350</f>
        <v>277774.3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160417</v>
      </c>
      <c r="I357" s="18">
        <v>699.74</v>
      </c>
      <c r="J357" s="18"/>
      <c r="K357" s="18"/>
      <c r="L357" s="13">
        <f>SUM(F357:K357)</f>
        <v>161116.74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160417</v>
      </c>
      <c r="I361" s="47">
        <f t="shared" si="22"/>
        <v>699.74</v>
      </c>
      <c r="J361" s="47">
        <f t="shared" si="22"/>
        <v>0</v>
      </c>
      <c r="K361" s="47">
        <f t="shared" si="22"/>
        <v>0</v>
      </c>
      <c r="L361" s="47">
        <f t="shared" si="22"/>
        <v>161116.74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699.74</v>
      </c>
      <c r="G366" s="18"/>
      <c r="H366" s="18"/>
      <c r="I366" s="56">
        <f>SUM(F366:H366)</f>
        <v>699.74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699.74</v>
      </c>
      <c r="G368" s="47">
        <f>SUM(G366:G367)</f>
        <v>0</v>
      </c>
      <c r="H368" s="47">
        <f>SUM(H366:H367)</f>
        <v>0</v>
      </c>
      <c r="I368" s="47">
        <f>SUM(I366:I367)</f>
        <v>699.74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113513.08</v>
      </c>
      <c r="H439" s="18"/>
      <c r="I439" s="56">
        <f t="shared" si="33"/>
        <v>113513.08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113513.08</v>
      </c>
      <c r="H445" s="13">
        <f>SUM(H438:H444)</f>
        <v>0</v>
      </c>
      <c r="I445" s="13">
        <f>SUM(I438:I444)</f>
        <v>113513.08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113513.08</v>
      </c>
      <c r="H458" s="18"/>
      <c r="I458" s="56">
        <f t="shared" si="34"/>
        <v>113513.08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113513.08</v>
      </c>
      <c r="H459" s="83">
        <f>SUM(H453:H458)</f>
        <v>0</v>
      </c>
      <c r="I459" s="83">
        <f>SUM(I453:I458)</f>
        <v>113513.08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113513.08</v>
      </c>
      <c r="H460" s="42">
        <f>H451+H459</f>
        <v>0</v>
      </c>
      <c r="I460" s="42">
        <f>I451+I459</f>
        <v>113513.08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108998.91</v>
      </c>
      <c r="G464" s="18"/>
      <c r="H464" s="18"/>
      <c r="I464" s="18"/>
      <c r="J464" s="18">
        <v>78270.92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10414847.82</v>
      </c>
      <c r="G467" s="18">
        <v>161116.74</v>
      </c>
      <c r="H467" s="18">
        <v>288205.37</v>
      </c>
      <c r="I467" s="18"/>
      <c r="J467" s="18"/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>
        <v>35242.160000000003</v>
      </c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10414847.82</v>
      </c>
      <c r="G469" s="53">
        <f>SUM(G467:G468)</f>
        <v>161116.74</v>
      </c>
      <c r="H469" s="53">
        <f>SUM(H467:H468)</f>
        <v>288205.37</v>
      </c>
      <c r="I469" s="53">
        <f>SUM(I467:I468)</f>
        <v>0</v>
      </c>
      <c r="J469" s="53">
        <f>SUM(J467:J468)</f>
        <v>35242.160000000003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10361750.27</v>
      </c>
      <c r="G471" s="18">
        <v>161116.74</v>
      </c>
      <c r="H471" s="18">
        <v>277774.3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8717.4599999999991</v>
      </c>
      <c r="G472" s="18"/>
      <c r="H472" s="18">
        <v>10431.07</v>
      </c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10370467.73</v>
      </c>
      <c r="G473" s="53">
        <f>SUM(G471:G472)</f>
        <v>161116.74</v>
      </c>
      <c r="H473" s="53">
        <f>SUM(H471:H472)</f>
        <v>288205.37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153379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113513.08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>
        <v>10</v>
      </c>
      <c r="H489" s="154">
        <v>5</v>
      </c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910</v>
      </c>
      <c r="H490" s="155" t="s">
        <v>911</v>
      </c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 t="s">
        <v>913</v>
      </c>
      <c r="H491" s="155" t="s">
        <v>912</v>
      </c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450000</v>
      </c>
      <c r="G492" s="18">
        <v>2239800</v>
      </c>
      <c r="H492" s="18">
        <v>82397.7</v>
      </c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4.76</v>
      </c>
      <c r="G493" s="18">
        <v>3.63</v>
      </c>
      <c r="H493" s="18">
        <v>3.9</v>
      </c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135000</v>
      </c>
      <c r="G494" s="18">
        <v>890000</v>
      </c>
      <c r="H494" s="18">
        <v>49712.33</v>
      </c>
      <c r="I494" s="18"/>
      <c r="J494" s="18"/>
      <c r="K494" s="53">
        <f>SUM(F494:J494)</f>
        <v>1074712.33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45000</v>
      </c>
      <c r="G496" s="18">
        <v>225000</v>
      </c>
      <c r="H496" s="18">
        <v>15950.81</v>
      </c>
      <c r="I496" s="18"/>
      <c r="J496" s="18"/>
      <c r="K496" s="53">
        <f t="shared" si="35"/>
        <v>285950.81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90000</v>
      </c>
      <c r="G497" s="205">
        <v>665000</v>
      </c>
      <c r="H497" s="205">
        <v>33761.519999999997</v>
      </c>
      <c r="I497" s="205"/>
      <c r="J497" s="205"/>
      <c r="K497" s="206">
        <f t="shared" si="35"/>
        <v>788761.52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4500</v>
      </c>
      <c r="G498" s="18">
        <v>49625</v>
      </c>
      <c r="H498" s="18">
        <v>1988.23</v>
      </c>
      <c r="I498" s="18"/>
      <c r="J498" s="18"/>
      <c r="K498" s="53">
        <f t="shared" si="35"/>
        <v>56113.23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94500</v>
      </c>
      <c r="G499" s="42">
        <f>SUM(G497:G498)</f>
        <v>714625</v>
      </c>
      <c r="H499" s="42">
        <f>SUM(H497:H498)</f>
        <v>35749.75</v>
      </c>
      <c r="I499" s="42">
        <f>SUM(I497:I498)</f>
        <v>0</v>
      </c>
      <c r="J499" s="42">
        <f>SUM(J497:J498)</f>
        <v>0</v>
      </c>
      <c r="K499" s="42">
        <f t="shared" si="35"/>
        <v>844874.75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45000</v>
      </c>
      <c r="G500" s="205">
        <v>225000</v>
      </c>
      <c r="H500" s="205">
        <v>17879.78</v>
      </c>
      <c r="I500" s="205"/>
      <c r="J500" s="205"/>
      <c r="K500" s="206">
        <f t="shared" si="35"/>
        <v>287879.78000000003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2250+1125</f>
        <v>3375</v>
      </c>
      <c r="G501" s="18">
        <v>27625</v>
      </c>
      <c r="H501" s="18">
        <v>1317.08</v>
      </c>
      <c r="I501" s="18"/>
      <c r="J501" s="18"/>
      <c r="K501" s="53">
        <f t="shared" si="35"/>
        <v>32317.08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48375</v>
      </c>
      <c r="G502" s="42">
        <f>SUM(G500:G501)</f>
        <v>252625</v>
      </c>
      <c r="H502" s="42">
        <f>SUM(H500:H501)</f>
        <v>19196.86</v>
      </c>
      <c r="I502" s="42">
        <f>SUM(I500:I501)</f>
        <v>0</v>
      </c>
      <c r="J502" s="42">
        <f>SUM(J500:J501)</f>
        <v>0</v>
      </c>
      <c r="K502" s="42">
        <f t="shared" si="35"/>
        <v>320196.86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615499.25+87474.96</f>
        <v>702974.21</v>
      </c>
      <c r="G520" s="18">
        <f>138411.06+39618.53</f>
        <v>178029.59</v>
      </c>
      <c r="H520" s="18">
        <f>144434.27+22796.46</f>
        <v>167230.72999999998</v>
      </c>
      <c r="I520" s="18">
        <f>4371.53+10780.31</f>
        <v>15151.84</v>
      </c>
      <c r="J520" s="18">
        <f>4865.79+2504.03</f>
        <v>7369.82</v>
      </c>
      <c r="K520" s="18"/>
      <c r="L520" s="88">
        <f>SUM(F520:K520)</f>
        <v>1070756.19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377226.13</v>
      </c>
      <c r="I522" s="18"/>
      <c r="J522" s="18"/>
      <c r="K522" s="18"/>
      <c r="L522" s="88">
        <f>SUM(F522:K522)</f>
        <v>377226.13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702974.21</v>
      </c>
      <c r="G523" s="108">
        <f t="shared" ref="G523:L523" si="36">SUM(G520:G522)</f>
        <v>178029.59</v>
      </c>
      <c r="H523" s="108">
        <f t="shared" si="36"/>
        <v>544456.86</v>
      </c>
      <c r="I523" s="108">
        <f t="shared" si="36"/>
        <v>15151.84</v>
      </c>
      <c r="J523" s="108">
        <f t="shared" si="36"/>
        <v>7369.82</v>
      </c>
      <c r="K523" s="108">
        <f t="shared" si="36"/>
        <v>0</v>
      </c>
      <c r="L523" s="89">
        <f t="shared" si="36"/>
        <v>1447982.3199999998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456870.59</v>
      </c>
      <c r="G525" s="18">
        <v>232317.06</v>
      </c>
      <c r="H525" s="18">
        <f>73954.01+214.23</f>
        <v>74168.239999999991</v>
      </c>
      <c r="I525" s="18">
        <v>6386.23</v>
      </c>
      <c r="J525" s="18"/>
      <c r="K525" s="18">
        <v>135</v>
      </c>
      <c r="L525" s="88">
        <f>SUM(F525:K525)</f>
        <v>769877.12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24333.05</f>
        <v>24333.05</v>
      </c>
      <c r="I527" s="18"/>
      <c r="J527" s="18"/>
      <c r="K527" s="18"/>
      <c r="L527" s="88">
        <f>SUM(F527:K527)</f>
        <v>24333.05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456870.59</v>
      </c>
      <c r="G528" s="89">
        <f t="shared" ref="G528:L528" si="37">SUM(G525:G527)</f>
        <v>232317.06</v>
      </c>
      <c r="H528" s="89">
        <f t="shared" si="37"/>
        <v>98501.29</v>
      </c>
      <c r="I528" s="89">
        <f t="shared" si="37"/>
        <v>6386.23</v>
      </c>
      <c r="J528" s="89">
        <f t="shared" si="37"/>
        <v>0</v>
      </c>
      <c r="K528" s="89">
        <f t="shared" si="37"/>
        <v>135</v>
      </c>
      <c r="L528" s="89">
        <f t="shared" si="37"/>
        <v>794210.17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123147+35211.57</f>
        <v>158358.57</v>
      </c>
      <c r="G530" s="18">
        <f>33383.58+1388.94+127.98+11922.84+3141.61+14155.83+833.44+486.94</f>
        <v>65441.160000000018</v>
      </c>
      <c r="H530" s="18"/>
      <c r="I530" s="18"/>
      <c r="J530" s="18"/>
      <c r="K530" s="18"/>
      <c r="L530" s="88">
        <f>SUM(F530:K530)</f>
        <v>223799.73000000004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158358.57</v>
      </c>
      <c r="G533" s="89">
        <f t="shared" ref="G533:L533" si="38">SUM(G530:G532)</f>
        <v>65441.160000000018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223799.73000000004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18477.18</v>
      </c>
      <c r="I537" s="18"/>
      <c r="J537" s="18"/>
      <c r="K537" s="18"/>
      <c r="L537" s="88">
        <f>SUM(F537:K537)</f>
        <v>18477.18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18477.18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18477.18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64080.05</v>
      </c>
      <c r="I540" s="18"/>
      <c r="J540" s="18"/>
      <c r="K540" s="18"/>
      <c r="L540" s="88">
        <f>SUM(F540:K540)</f>
        <v>64080.05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114126.47</v>
      </c>
      <c r="I542" s="18"/>
      <c r="J542" s="18"/>
      <c r="K542" s="18"/>
      <c r="L542" s="88">
        <f>SUM(F542:K542)</f>
        <v>114126.47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178206.52000000002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178206.52000000002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1318203.3700000001</v>
      </c>
      <c r="G544" s="89">
        <f t="shared" ref="G544:L544" si="41">G523+G528+G533+G538+G543</f>
        <v>475787.81000000006</v>
      </c>
      <c r="H544" s="89">
        <f t="shared" si="41"/>
        <v>839641.85000000009</v>
      </c>
      <c r="I544" s="89">
        <f t="shared" si="41"/>
        <v>21538.07</v>
      </c>
      <c r="J544" s="89">
        <f t="shared" si="41"/>
        <v>7369.82</v>
      </c>
      <c r="K544" s="89">
        <f t="shared" si="41"/>
        <v>135</v>
      </c>
      <c r="L544" s="89">
        <f t="shared" si="41"/>
        <v>2662675.92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1070756.19</v>
      </c>
      <c r="G548" s="87">
        <f>L525</f>
        <v>769877.12</v>
      </c>
      <c r="H548" s="87">
        <f>L530</f>
        <v>223799.73000000004</v>
      </c>
      <c r="I548" s="87">
        <f>L535</f>
        <v>0</v>
      </c>
      <c r="J548" s="87">
        <f>L540</f>
        <v>64080.05</v>
      </c>
      <c r="K548" s="87">
        <f>SUM(F548:J548)</f>
        <v>2128513.09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377226.13</v>
      </c>
      <c r="G550" s="87">
        <f>L527</f>
        <v>24333.05</v>
      </c>
      <c r="H550" s="87">
        <f>L532</f>
        <v>0</v>
      </c>
      <c r="I550" s="87">
        <f>L537</f>
        <v>18477.18</v>
      </c>
      <c r="J550" s="87">
        <f>L542</f>
        <v>114126.47</v>
      </c>
      <c r="K550" s="87">
        <f>SUM(F550:J550)</f>
        <v>534162.82999999996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1447982.3199999998</v>
      </c>
      <c r="G551" s="89">
        <f t="shared" si="42"/>
        <v>794210.17</v>
      </c>
      <c r="H551" s="89">
        <f t="shared" si="42"/>
        <v>223799.73000000004</v>
      </c>
      <c r="I551" s="89">
        <f t="shared" si="42"/>
        <v>18477.18</v>
      </c>
      <c r="J551" s="89">
        <f t="shared" si="42"/>
        <v>178206.52000000002</v>
      </c>
      <c r="K551" s="89">
        <f t="shared" si="42"/>
        <v>2662675.92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f>3092381.98</f>
        <v>3092381.98</v>
      </c>
      <c r="I574" s="87">
        <f>SUM(F574:H574)</f>
        <v>3092381.98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188307.67</v>
      </c>
      <c r="I578" s="87">
        <f t="shared" si="47"/>
        <v>188307.67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99620.92</v>
      </c>
      <c r="G581" s="18"/>
      <c r="H581" s="18">
        <v>169151.33</v>
      </c>
      <c r="I581" s="87">
        <f t="shared" si="47"/>
        <v>268772.25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247320</v>
      </c>
      <c r="I590" s="18"/>
      <c r="J590" s="18">
        <v>82440</v>
      </c>
      <c r="K590" s="104">
        <f t="shared" ref="K590:K596" si="48">SUM(H590:J590)</f>
        <v>329760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64080.05</v>
      </c>
      <c r="I591" s="18"/>
      <c r="J591" s="18">
        <v>114126.47</v>
      </c>
      <c r="K591" s="104">
        <f t="shared" si="48"/>
        <v>178206.52000000002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3095</v>
      </c>
      <c r="I593" s="18"/>
      <c r="J593" s="18"/>
      <c r="K593" s="104">
        <f t="shared" si="48"/>
        <v>3095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6811.46</v>
      </c>
      <c r="I594" s="18"/>
      <c r="J594" s="18"/>
      <c r="K594" s="104">
        <f t="shared" si="48"/>
        <v>6811.46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321306.51</v>
      </c>
      <c r="I597" s="108">
        <f>SUM(I590:I596)</f>
        <v>0</v>
      </c>
      <c r="J597" s="108">
        <f>SUM(J590:J596)</f>
        <v>196566.47</v>
      </c>
      <c r="K597" s="108">
        <f>SUM(K590:K596)</f>
        <v>517872.98000000004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140908.87</v>
      </c>
      <c r="I603" s="18"/>
      <c r="J603" s="18"/>
      <c r="K603" s="104">
        <f>SUM(H603:J603)</f>
        <v>140908.87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140908.87</v>
      </c>
      <c r="I604" s="108">
        <f>SUM(I601:I603)</f>
        <v>0</v>
      </c>
      <c r="J604" s="108">
        <f>SUM(J601:J603)</f>
        <v>0</v>
      </c>
      <c r="K604" s="108">
        <f>SUM(K601:K603)</f>
        <v>140908.87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314622.48000000004</v>
      </c>
      <c r="H616" s="109">
        <f>SUM(F51)</f>
        <v>314622.48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122019.84000000001</v>
      </c>
      <c r="H617" s="109">
        <f>SUM(G51)</f>
        <v>122019.84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123486.29000000001</v>
      </c>
      <c r="H618" s="109">
        <f>SUM(H51)</f>
        <v>123486.29000000001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113513.08</v>
      </c>
      <c r="H620" s="109">
        <f>SUM(J51)</f>
        <v>113513.08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153379</v>
      </c>
      <c r="H621" s="109">
        <f>F475</f>
        <v>153379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113513.08</v>
      </c>
      <c r="H625" s="109">
        <f>J475</f>
        <v>113513.08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10414847.82</v>
      </c>
      <c r="H626" s="104">
        <f>SUM(F467)</f>
        <v>10414847.82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161116.74</v>
      </c>
      <c r="H627" s="104">
        <f>SUM(G467)</f>
        <v>161116.74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288205.37</v>
      </c>
      <c r="H628" s="104">
        <f>SUM(H467)</f>
        <v>288205.37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10361750.27</v>
      </c>
      <c r="H631" s="104">
        <f>SUM(F471)</f>
        <v>10361750.27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277774.3</v>
      </c>
      <c r="H632" s="104">
        <f>SUM(H471)</f>
        <v>277774.3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699.74</v>
      </c>
      <c r="H633" s="104">
        <f>I368</f>
        <v>699.74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161116.74</v>
      </c>
      <c r="H634" s="104">
        <f>SUM(G471)</f>
        <v>161116.74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113513.08</v>
      </c>
      <c r="H639" s="104">
        <f>SUM(G460)</f>
        <v>113513.08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113513.08</v>
      </c>
      <c r="H641" s="104">
        <f>SUM(I460)</f>
        <v>113513.08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517872.98000000004</v>
      </c>
      <c r="H646" s="104">
        <f>L207+L225+L243</f>
        <v>517872.98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140908.87</v>
      </c>
      <c r="H647" s="104">
        <f>(J256+J337)-(J254+J335)</f>
        <v>140908.87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321306.51</v>
      </c>
      <c r="H648" s="104">
        <f>H597</f>
        <v>321306.51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196566.47</v>
      </c>
      <c r="H650" s="104">
        <f>J597</f>
        <v>196566.47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6715878.4399999995</v>
      </c>
      <c r="G659" s="19">
        <f>(L228+L308+L358)</f>
        <v>0</v>
      </c>
      <c r="H659" s="19">
        <f>(L246+L327+L359)</f>
        <v>3795887.87</v>
      </c>
      <c r="I659" s="19">
        <f>SUM(F659:H659)</f>
        <v>10511766.309999999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105988.47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105988.47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321306.51</v>
      </c>
      <c r="G661" s="19">
        <f>(L225+L305)-(J225+J305)</f>
        <v>0</v>
      </c>
      <c r="H661" s="19">
        <f>(L243+L324)-(J243+J324)</f>
        <v>196566.47</v>
      </c>
      <c r="I661" s="19">
        <f>SUM(F661:H661)</f>
        <v>517872.98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240529.78999999998</v>
      </c>
      <c r="G662" s="200">
        <f>SUM(G574:G586)+SUM(I601:I603)+L611</f>
        <v>0</v>
      </c>
      <c r="H662" s="200">
        <f>SUM(H574:H586)+SUM(J601:J603)+L612</f>
        <v>3449840.98</v>
      </c>
      <c r="I662" s="19">
        <f>SUM(F662:H662)</f>
        <v>3690370.77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6048053.6699999999</v>
      </c>
      <c r="G663" s="19">
        <f>G659-SUM(G660:G662)</f>
        <v>0</v>
      </c>
      <c r="H663" s="19">
        <f>H659-SUM(H660:H662)</f>
        <v>149480.41999999993</v>
      </c>
      <c r="I663" s="19">
        <f>I659-SUM(I660:I662)</f>
        <v>6197534.0899999989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464.68</v>
      </c>
      <c r="G664" s="249"/>
      <c r="H664" s="249"/>
      <c r="I664" s="19">
        <f>SUM(F664:H664)</f>
        <v>464.68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13015.52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13337.21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-149480.42000000001</v>
      </c>
      <c r="I668" s="19">
        <f>SUM(F668:H668)</f>
        <v>-149480.42000000001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13015.52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13015.52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Fremont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1726448.25</v>
      </c>
      <c r="C9" s="230">
        <f>'DOE25'!G196+'DOE25'!G214+'DOE25'!G232+'DOE25'!G275+'DOE25'!G294+'DOE25'!G313</f>
        <v>838595.89999999991</v>
      </c>
    </row>
    <row r="10" spans="1:3" x14ac:dyDescent="0.2">
      <c r="A10" t="s">
        <v>779</v>
      </c>
      <c r="B10" s="241">
        <f>2487.5+1572587.89+48667.5+73617.86+18340</f>
        <v>1715700.75</v>
      </c>
      <c r="C10" s="241">
        <v>837773.72</v>
      </c>
    </row>
    <row r="11" spans="1:3" x14ac:dyDescent="0.2">
      <c r="A11" t="s">
        <v>780</v>
      </c>
      <c r="B11" s="241">
        <f>8540</f>
        <v>8540</v>
      </c>
      <c r="C11" s="241">
        <v>653.30999999999995</v>
      </c>
    </row>
    <row r="12" spans="1:3" x14ac:dyDescent="0.2">
      <c r="A12" t="s">
        <v>781</v>
      </c>
      <c r="B12" s="241">
        <v>2207.5</v>
      </c>
      <c r="C12" s="241">
        <v>168.87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1726448.25</v>
      </c>
      <c r="C13" s="232">
        <f>SUM(C10:C12)</f>
        <v>838595.9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702974.21000000008</v>
      </c>
      <c r="C18" s="230">
        <f>'DOE25'!G197+'DOE25'!G215+'DOE25'!G233+'DOE25'!G276+'DOE25'!G295+'DOE25'!G314</f>
        <v>178029.59</v>
      </c>
    </row>
    <row r="19" spans="1:3" x14ac:dyDescent="0.2">
      <c r="A19" t="s">
        <v>779</v>
      </c>
      <c r="B19" s="241">
        <f>36821+1109.34+244939.08+43829+86074.96</f>
        <v>412773.38</v>
      </c>
      <c r="C19" s="241">
        <f>31347.22+21094.87+700+8213.28+237.06+522+48867.05+6162.46+107.13+30679.59</f>
        <v>147930.66</v>
      </c>
    </row>
    <row r="20" spans="1:3" x14ac:dyDescent="0.2">
      <c r="A20" t="s">
        <v>780</v>
      </c>
      <c r="B20" s="241">
        <f>277143.33</f>
        <v>277143.33</v>
      </c>
      <c r="C20" s="241">
        <v>29100.03</v>
      </c>
    </row>
    <row r="21" spans="1:3" x14ac:dyDescent="0.2">
      <c r="A21" t="s">
        <v>781</v>
      </c>
      <c r="B21" s="241">
        <v>13057.5</v>
      </c>
      <c r="C21" s="241">
        <v>998.9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702974.21</v>
      </c>
      <c r="C22" s="232">
        <f>SUM(C19:C21)</f>
        <v>178029.59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>
        <v>0</v>
      </c>
      <c r="C28" s="241">
        <v>0</v>
      </c>
    </row>
    <row r="29" spans="1:3" x14ac:dyDescent="0.2">
      <c r="A29" t="s">
        <v>780</v>
      </c>
      <c r="B29" s="241">
        <v>0</v>
      </c>
      <c r="C29" s="241">
        <v>0</v>
      </c>
    </row>
    <row r="30" spans="1:3" x14ac:dyDescent="0.2">
      <c r="A30" t="s">
        <v>781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70471.010000000009</v>
      </c>
      <c r="C36" s="236">
        <f>'DOE25'!G199+'DOE25'!G217+'DOE25'!G235+'DOE25'!G278+'DOE25'!G297+'DOE25'!G316</f>
        <v>6300.7</v>
      </c>
    </row>
    <row r="37" spans="1:3" x14ac:dyDescent="0.2">
      <c r="A37" t="s">
        <v>779</v>
      </c>
      <c r="B37" s="241">
        <v>57171.01</v>
      </c>
      <c r="C37" s="241">
        <v>5283.25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13300</v>
      </c>
      <c r="C39" s="241">
        <v>1017.45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70471.010000000009</v>
      </c>
      <c r="C40" s="232">
        <f>SUM(C37:C39)</f>
        <v>6300.7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9" activePane="bottomLeft" state="frozen"/>
      <selection pane="bottomLeft" activeCell="F14" sqref="F1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Fremont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7147732.6600000001</v>
      </c>
      <c r="D5" s="20">
        <f>SUM('DOE25'!L196:L199)+SUM('DOE25'!L214:L217)+SUM('DOE25'!L232:L235)-F5-G5</f>
        <v>7142551.9199999999</v>
      </c>
      <c r="E5" s="244"/>
      <c r="F5" s="256">
        <f>SUM('DOE25'!J196:J199)+SUM('DOE25'!J214:J217)+SUM('DOE25'!J232:J235)</f>
        <v>4970.74</v>
      </c>
      <c r="G5" s="53">
        <f>SUM('DOE25'!K196:K199)+SUM('DOE25'!K214:K217)+SUM('DOE25'!K232:K235)</f>
        <v>210</v>
      </c>
      <c r="H5" s="260"/>
    </row>
    <row r="6" spans="1:9" x14ac:dyDescent="0.2">
      <c r="A6" s="32">
        <v>2100</v>
      </c>
      <c r="B6" t="s">
        <v>801</v>
      </c>
      <c r="C6" s="246">
        <f t="shared" si="0"/>
        <v>793995.94000000006</v>
      </c>
      <c r="D6" s="20">
        <f>'DOE25'!L201+'DOE25'!L219+'DOE25'!L237-F6-G6</f>
        <v>793860.94000000006</v>
      </c>
      <c r="E6" s="244"/>
      <c r="F6" s="256">
        <f>'DOE25'!J201+'DOE25'!J219+'DOE25'!J237</f>
        <v>0</v>
      </c>
      <c r="G6" s="53">
        <f>'DOE25'!K201+'DOE25'!K219+'DOE25'!K237</f>
        <v>135</v>
      </c>
      <c r="H6" s="260"/>
    </row>
    <row r="7" spans="1:9" x14ac:dyDescent="0.2">
      <c r="A7" s="32">
        <v>2200</v>
      </c>
      <c r="B7" t="s">
        <v>834</v>
      </c>
      <c r="C7" s="246">
        <f t="shared" si="0"/>
        <v>311699.30000000005</v>
      </c>
      <c r="D7" s="20">
        <f>'DOE25'!L202+'DOE25'!L220+'DOE25'!L238-F7-G7</f>
        <v>179868.70000000004</v>
      </c>
      <c r="E7" s="244"/>
      <c r="F7" s="256">
        <f>'DOE25'!J202+'DOE25'!J220+'DOE25'!J238</f>
        <v>131830.6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333194.65000000002</v>
      </c>
      <c r="D8" s="244"/>
      <c r="E8" s="20">
        <f>'DOE25'!L203+'DOE25'!L221+'DOE25'!L239-F8-G8-D9-D11</f>
        <v>314492.04000000004</v>
      </c>
      <c r="F8" s="256">
        <f>'DOE25'!J203+'DOE25'!J221+'DOE25'!J239</f>
        <v>0</v>
      </c>
      <c r="G8" s="53">
        <f>'DOE25'!K203+'DOE25'!K221+'DOE25'!K239</f>
        <v>18702.61</v>
      </c>
      <c r="H8" s="260"/>
    </row>
    <row r="9" spans="1:9" x14ac:dyDescent="0.2">
      <c r="A9" s="32">
        <v>2310</v>
      </c>
      <c r="B9" t="s">
        <v>818</v>
      </c>
      <c r="C9" s="246">
        <f t="shared" si="0"/>
        <v>78752.23</v>
      </c>
      <c r="D9" s="245">
        <v>78752.23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11695</v>
      </c>
      <c r="D10" s="244"/>
      <c r="E10" s="245">
        <v>11695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155483.66000000006</v>
      </c>
      <c r="D11" s="245">
        <f>35913.6+85000+11293.11+1018.92+185.76+9249.89+3160.39+1866+1488+703.01+1526.19+3228.79+850</f>
        <v>155483.66000000006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345615.31</v>
      </c>
      <c r="D12" s="20">
        <f>'DOE25'!L204+'DOE25'!L222+'DOE25'!L240-F12-G12</f>
        <v>343516.32</v>
      </c>
      <c r="E12" s="244"/>
      <c r="F12" s="256">
        <f>'DOE25'!J204+'DOE25'!J222+'DOE25'!J240</f>
        <v>0</v>
      </c>
      <c r="G12" s="53">
        <f>'DOE25'!K204+'DOE25'!K222+'DOE25'!K240</f>
        <v>2098.9899999999998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-1603.5</v>
      </c>
      <c r="F13" s="256">
        <f>'DOE25'!J206+'DOE25'!J223+'DOE25'!J241</f>
        <v>1603.5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388528.54</v>
      </c>
      <c r="D14" s="20">
        <f>'DOE25'!L206+'DOE25'!L224+'DOE25'!L242-F14-G14</f>
        <v>386925.04</v>
      </c>
      <c r="E14" s="244"/>
      <c r="F14" s="256">
        <f>'DOE25'!J206+'DOE25'!J224+'DOE25'!J242</f>
        <v>1603.5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517872.98</v>
      </c>
      <c r="D15" s="20">
        <f>'DOE25'!L207+'DOE25'!L225+'DOE25'!L243-F15-G15</f>
        <v>517872.98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288875</v>
      </c>
      <c r="D25" s="244"/>
      <c r="E25" s="244"/>
      <c r="F25" s="259"/>
      <c r="G25" s="257"/>
      <c r="H25" s="258">
        <f>'DOE25'!L259+'DOE25'!L260+'DOE25'!L340+'DOE25'!L341</f>
        <v>288875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160417</v>
      </c>
      <c r="D29" s="20">
        <f>'DOE25'!L357+'DOE25'!L358+'DOE25'!L359-'DOE25'!I366-F29-G29</f>
        <v>160417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277774.3</v>
      </c>
      <c r="D31" s="20">
        <f>'DOE25'!L289+'DOE25'!L308+'DOE25'!L327+'DOE25'!L332+'DOE25'!L333+'DOE25'!L334-F31-G31</f>
        <v>275270.26999999996</v>
      </c>
      <c r="E31" s="244"/>
      <c r="F31" s="256">
        <f>'DOE25'!J289+'DOE25'!J308+'DOE25'!J327+'DOE25'!J332+'DOE25'!J333+'DOE25'!J334</f>
        <v>2504.0299999999997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10034519.060000001</v>
      </c>
      <c r="E33" s="247">
        <f>SUM(E5:E31)</f>
        <v>324583.54000000004</v>
      </c>
      <c r="F33" s="247">
        <f>SUM(F5:F31)</f>
        <v>142512.37</v>
      </c>
      <c r="G33" s="247">
        <f>SUM(G5:G31)</f>
        <v>21146.6</v>
      </c>
      <c r="H33" s="247">
        <f>SUM(H5:H31)</f>
        <v>288875</v>
      </c>
    </row>
    <row r="35" spans="2:8" ht="12" thickBot="1" x14ac:dyDescent="0.25">
      <c r="B35" s="254" t="s">
        <v>847</v>
      </c>
      <c r="D35" s="255">
        <f>E33</f>
        <v>324583.54000000004</v>
      </c>
      <c r="E35" s="250"/>
    </row>
    <row r="36" spans="2:8" ht="12" thickTop="1" x14ac:dyDescent="0.2">
      <c r="B36" t="s">
        <v>815</v>
      </c>
      <c r="D36" s="20">
        <f>D33</f>
        <v>10034519.060000001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24" activePane="bottomLeft" state="frozen"/>
      <selection pane="bottomLeft" activeCell="M137" sqref="M13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Fremont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140269.62</v>
      </c>
      <c r="D8" s="95">
        <f>'DOE25'!G9</f>
        <v>106491.99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113513.08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113513.08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45342.22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8131.56</v>
      </c>
      <c r="D12" s="95">
        <f>'DOE25'!G13</f>
        <v>4206.08</v>
      </c>
      <c r="E12" s="95">
        <f>'DOE25'!H13</f>
        <v>123486.29000000001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7366</v>
      </c>
      <c r="D13" s="95">
        <f>'DOE25'!G14</f>
        <v>11321.77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314622.48000000004</v>
      </c>
      <c r="D18" s="41">
        <f>SUM(D8:D17)</f>
        <v>122019.84000000001</v>
      </c>
      <c r="E18" s="41">
        <f>SUM(E8:E17)</f>
        <v>123486.29000000001</v>
      </c>
      <c r="F18" s="41">
        <f>SUM(F8:F17)</f>
        <v>0</v>
      </c>
      <c r="G18" s="41">
        <f>SUM(G8:G17)</f>
        <v>113513.08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8032.78</v>
      </c>
      <c r="D21" s="95">
        <f>'DOE25'!G22</f>
        <v>115357.28</v>
      </c>
      <c r="E21" s="95">
        <f>'DOE25'!H22</f>
        <v>42015.83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22686.11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127699.03</v>
      </c>
      <c r="D23" s="95">
        <f>'DOE25'!G24</f>
        <v>4670.72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2789.12</v>
      </c>
      <c r="D27" s="95">
        <f>'DOE25'!G28</f>
        <v>0</v>
      </c>
      <c r="E27" s="95">
        <f>'DOE25'!H28</f>
        <v>7402.46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36.44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1991.84</v>
      </c>
      <c r="E29" s="95">
        <f>'DOE25'!H30</f>
        <v>74068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161243.47999999998</v>
      </c>
      <c r="D31" s="41">
        <f>SUM(D21:D30)</f>
        <v>122019.84</v>
      </c>
      <c r="E31" s="41">
        <f>SUM(E21:E30)</f>
        <v>123486.29000000001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113513.08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143379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153379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113513.08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314622.48</v>
      </c>
      <c r="D50" s="41">
        <f>D49+D31</f>
        <v>122019.84</v>
      </c>
      <c r="E50" s="41">
        <f>E49+E31</f>
        <v>123486.29000000001</v>
      </c>
      <c r="F50" s="41">
        <f>F49+F31</f>
        <v>0</v>
      </c>
      <c r="G50" s="41">
        <f>G49+G31</f>
        <v>113513.08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7460710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19447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527.54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105988.47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21563.79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41538.33</v>
      </c>
      <c r="D61" s="130">
        <f>SUM(D56:D60)</f>
        <v>105988.47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7502248.3300000001</v>
      </c>
      <c r="D62" s="22">
        <f>D55+D61</f>
        <v>105988.47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1782433.64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846787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1544.36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2630764.9999999995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88485.51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82045.100000000006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1973.37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170530.61</v>
      </c>
      <c r="D77" s="130">
        <f>SUM(D71:D76)</f>
        <v>1973.37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5804.07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2807099.6799999997</v>
      </c>
      <c r="D80" s="130">
        <f>SUM(D78:D79)+D77+D69</f>
        <v>1973.37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57679.64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47820.17</v>
      </c>
      <c r="D87" s="95">
        <f>SUM('DOE25'!G152:G160)</f>
        <v>53154.9</v>
      </c>
      <c r="E87" s="95">
        <f>SUM('DOE25'!H152:H160)</f>
        <v>288205.37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105499.81</v>
      </c>
      <c r="D90" s="131">
        <f>SUM(D84:D89)</f>
        <v>53154.9</v>
      </c>
      <c r="E90" s="131">
        <f>SUM(E84:E89)</f>
        <v>288205.37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10414847.82</v>
      </c>
      <c r="D103" s="86">
        <f>D62+D80+D90+D102</f>
        <v>161116.74</v>
      </c>
      <c r="E103" s="86">
        <f>E62+E80+E90+E102</f>
        <v>288205.37</v>
      </c>
      <c r="F103" s="86">
        <f>F62+F80+F90+F102</f>
        <v>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5816816.8100000005</v>
      </c>
      <c r="D108" s="24" t="s">
        <v>289</v>
      </c>
      <c r="E108" s="95">
        <f>('DOE25'!L275)+('DOE25'!L294)+('DOE25'!L313)</f>
        <v>75720.2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1284808.0300000003</v>
      </c>
      <c r="D109" s="24" t="s">
        <v>289</v>
      </c>
      <c r="E109" s="95">
        <f>('DOE25'!L276)+('DOE25'!L295)+('DOE25'!L314)</f>
        <v>163174.28999999998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46107.819999999992</v>
      </c>
      <c r="D111" s="24" t="s">
        <v>289</v>
      </c>
      <c r="E111" s="95">
        <f>+('DOE25'!L278)+('DOE25'!L297)+('DOE25'!L316)</f>
        <v>36821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7147732.6600000011</v>
      </c>
      <c r="D114" s="86">
        <f>SUM(D108:D113)</f>
        <v>0</v>
      </c>
      <c r="E114" s="86">
        <f>SUM(E108:E113)</f>
        <v>275715.49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793995.94000000006</v>
      </c>
      <c r="D117" s="24" t="s">
        <v>289</v>
      </c>
      <c r="E117" s="95">
        <f>+('DOE25'!L280)+('DOE25'!L299)+('DOE25'!L318)</f>
        <v>214.23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311699.30000000005</v>
      </c>
      <c r="D118" s="24" t="s">
        <v>289</v>
      </c>
      <c r="E118" s="95">
        <f>+('DOE25'!L281)+('DOE25'!L300)+('DOE25'!L319)</f>
        <v>1647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567430.54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345615.31</v>
      </c>
      <c r="D120" s="24" t="s">
        <v>289</v>
      </c>
      <c r="E120" s="95">
        <f>+('DOE25'!L283)+('DOE25'!L302)+('DOE25'!L321)</f>
        <v>197.58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388528.54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517872.98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161116.74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2925142.6100000003</v>
      </c>
      <c r="D127" s="86">
        <f>SUM(D117:D126)</f>
        <v>161116.74</v>
      </c>
      <c r="E127" s="86">
        <f>SUM(E117:E126)</f>
        <v>2058.81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270000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18875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288875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10361750.270000001</v>
      </c>
      <c r="D144" s="86">
        <f>(D114+D127+D143)</f>
        <v>161116.74</v>
      </c>
      <c r="E144" s="86">
        <f>(E114+E127+E143)</f>
        <v>277774.3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10</v>
      </c>
      <c r="D150" s="153">
        <f>'DOE25'!H489</f>
        <v>5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08/03</v>
      </c>
      <c r="C151" s="152" t="str">
        <f>'DOE25'!G490</f>
        <v>08/04</v>
      </c>
      <c r="D151" s="152" t="str">
        <f>'DOE25'!H490</f>
        <v>07/09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08/13</v>
      </c>
      <c r="C152" s="152" t="str">
        <f>'DOE25'!G491</f>
        <v>08/14</v>
      </c>
      <c r="D152" s="152" t="str">
        <f>'DOE25'!H491</f>
        <v>08/13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450000</v>
      </c>
      <c r="C153" s="137">
        <f>'DOE25'!G492</f>
        <v>2239800</v>
      </c>
      <c r="D153" s="137">
        <f>'DOE25'!H492</f>
        <v>82397.7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4.76</v>
      </c>
      <c r="C154" s="137">
        <f>'DOE25'!G493</f>
        <v>3.63</v>
      </c>
      <c r="D154" s="137">
        <f>'DOE25'!H493</f>
        <v>3.9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135000</v>
      </c>
      <c r="C155" s="137">
        <f>'DOE25'!G494</f>
        <v>890000</v>
      </c>
      <c r="D155" s="137">
        <f>'DOE25'!H494</f>
        <v>49712.33</v>
      </c>
      <c r="E155" s="137">
        <f>'DOE25'!I494</f>
        <v>0</v>
      </c>
      <c r="F155" s="137">
        <f>'DOE25'!J494</f>
        <v>0</v>
      </c>
      <c r="G155" s="138">
        <f>SUM(B155:F155)</f>
        <v>1074712.33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45000</v>
      </c>
      <c r="C157" s="137">
        <f>'DOE25'!G496</f>
        <v>225000</v>
      </c>
      <c r="D157" s="137">
        <f>'DOE25'!H496</f>
        <v>15950.81</v>
      </c>
      <c r="E157" s="137">
        <f>'DOE25'!I496</f>
        <v>0</v>
      </c>
      <c r="F157" s="137">
        <f>'DOE25'!J496</f>
        <v>0</v>
      </c>
      <c r="G157" s="138">
        <f t="shared" si="0"/>
        <v>285950.81</v>
      </c>
    </row>
    <row r="158" spans="1:9" x14ac:dyDescent="0.2">
      <c r="A158" s="22" t="s">
        <v>35</v>
      </c>
      <c r="B158" s="137">
        <f>'DOE25'!F497</f>
        <v>90000</v>
      </c>
      <c r="C158" s="137">
        <f>'DOE25'!G497</f>
        <v>665000</v>
      </c>
      <c r="D158" s="137">
        <f>'DOE25'!H497</f>
        <v>33761.519999999997</v>
      </c>
      <c r="E158" s="137">
        <f>'DOE25'!I497</f>
        <v>0</v>
      </c>
      <c r="F158" s="137">
        <f>'DOE25'!J497</f>
        <v>0</v>
      </c>
      <c r="G158" s="138">
        <f t="shared" si="0"/>
        <v>788761.52</v>
      </c>
    </row>
    <row r="159" spans="1:9" x14ac:dyDescent="0.2">
      <c r="A159" s="22" t="s">
        <v>36</v>
      </c>
      <c r="B159" s="137">
        <f>'DOE25'!F498</f>
        <v>4500</v>
      </c>
      <c r="C159" s="137">
        <f>'DOE25'!G498</f>
        <v>49625</v>
      </c>
      <c r="D159" s="137">
        <f>'DOE25'!H498</f>
        <v>1988.23</v>
      </c>
      <c r="E159" s="137">
        <f>'DOE25'!I498</f>
        <v>0</v>
      </c>
      <c r="F159" s="137">
        <f>'DOE25'!J498</f>
        <v>0</v>
      </c>
      <c r="G159" s="138">
        <f t="shared" si="0"/>
        <v>56113.23</v>
      </c>
    </row>
    <row r="160" spans="1:9" x14ac:dyDescent="0.2">
      <c r="A160" s="22" t="s">
        <v>37</v>
      </c>
      <c r="B160" s="137">
        <f>'DOE25'!F499</f>
        <v>94500</v>
      </c>
      <c r="C160" s="137">
        <f>'DOE25'!G499</f>
        <v>714625</v>
      </c>
      <c r="D160" s="137">
        <f>'DOE25'!H499</f>
        <v>35749.75</v>
      </c>
      <c r="E160" s="137">
        <f>'DOE25'!I499</f>
        <v>0</v>
      </c>
      <c r="F160" s="137">
        <f>'DOE25'!J499</f>
        <v>0</v>
      </c>
      <c r="G160" s="138">
        <f t="shared" si="0"/>
        <v>844874.75</v>
      </c>
    </row>
    <row r="161" spans="1:7" x14ac:dyDescent="0.2">
      <c r="A161" s="22" t="s">
        <v>38</v>
      </c>
      <c r="B161" s="137">
        <f>'DOE25'!F500</f>
        <v>45000</v>
      </c>
      <c r="C161" s="137">
        <f>'DOE25'!G500</f>
        <v>225000</v>
      </c>
      <c r="D161" s="137">
        <f>'DOE25'!H500</f>
        <v>17879.78</v>
      </c>
      <c r="E161" s="137">
        <f>'DOE25'!I500</f>
        <v>0</v>
      </c>
      <c r="F161" s="137">
        <f>'DOE25'!J500</f>
        <v>0</v>
      </c>
      <c r="G161" s="138">
        <f t="shared" si="0"/>
        <v>287879.78000000003</v>
      </c>
    </row>
    <row r="162" spans="1:7" x14ac:dyDescent="0.2">
      <c r="A162" s="22" t="s">
        <v>39</v>
      </c>
      <c r="B162" s="137">
        <f>'DOE25'!F501</f>
        <v>3375</v>
      </c>
      <c r="C162" s="137">
        <f>'DOE25'!G501</f>
        <v>27625</v>
      </c>
      <c r="D162" s="137">
        <f>'DOE25'!H501</f>
        <v>1317.08</v>
      </c>
      <c r="E162" s="137">
        <f>'DOE25'!I501</f>
        <v>0</v>
      </c>
      <c r="F162" s="137">
        <f>'DOE25'!J501</f>
        <v>0</v>
      </c>
      <c r="G162" s="138">
        <f t="shared" si="0"/>
        <v>32317.08</v>
      </c>
    </row>
    <row r="163" spans="1:7" x14ac:dyDescent="0.2">
      <c r="A163" s="22" t="s">
        <v>246</v>
      </c>
      <c r="B163" s="137">
        <f>'DOE25'!F502</f>
        <v>48375</v>
      </c>
      <c r="C163" s="137">
        <f>'DOE25'!G502</f>
        <v>252625</v>
      </c>
      <c r="D163" s="137">
        <f>'DOE25'!H502</f>
        <v>19196.86</v>
      </c>
      <c r="E163" s="137">
        <f>'DOE25'!I502</f>
        <v>0</v>
      </c>
      <c r="F163" s="137">
        <f>'DOE25'!J502</f>
        <v>0</v>
      </c>
      <c r="G163" s="138">
        <f t="shared" si="0"/>
        <v>320196.86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9"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Fremont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13016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13016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5892537</v>
      </c>
      <c r="D10" s="182">
        <f>ROUND((C10/$C$28)*100,1)</f>
        <v>56.5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1447982</v>
      </c>
      <c r="D11" s="182">
        <f>ROUND((C11/$C$28)*100,1)</f>
        <v>13.9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82929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794210</v>
      </c>
      <c r="D15" s="182">
        <f t="shared" ref="D15:D27" si="0">ROUND((C15/$C$28)*100,1)</f>
        <v>7.6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313346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567431</v>
      </c>
      <c r="D17" s="182">
        <f t="shared" si="0"/>
        <v>5.4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345813</v>
      </c>
      <c r="D18" s="182">
        <f t="shared" si="0"/>
        <v>3.3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388529</v>
      </c>
      <c r="D20" s="182">
        <f t="shared" si="0"/>
        <v>3.7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517873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18875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55128.53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10424653.529999999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10424653.529999999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270000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7460710</v>
      </c>
      <c r="D35" s="182">
        <f t="shared" ref="D35:D40" si="1">ROUND((C35/$C$41)*100,1)</f>
        <v>69.3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41538.330000000075</v>
      </c>
      <c r="D36" s="182">
        <f t="shared" si="1"/>
        <v>0.4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2630765</v>
      </c>
      <c r="D37" s="182">
        <f t="shared" si="1"/>
        <v>24.5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178308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446860</v>
      </c>
      <c r="D39" s="182">
        <f t="shared" si="1"/>
        <v>4.2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10758181.33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Fremont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2013-03-20T18:00:30Z</cp:lastPrinted>
  <dcterms:created xsi:type="dcterms:W3CDTF">1997-12-04T19:04:30Z</dcterms:created>
  <dcterms:modified xsi:type="dcterms:W3CDTF">2013-03-20T18:01:07Z</dcterms:modified>
</cp:coreProperties>
</file>