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-3300" yWindow="-195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E49" i="2" s="1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D6" i="13" s="1"/>
  <c r="C6" i="13" s="1"/>
  <c r="G6" i="13"/>
  <c r="L201" i="1"/>
  <c r="L219" i="1"/>
  <c r="L237" i="1"/>
  <c r="F7" i="13"/>
  <c r="G7" i="13"/>
  <c r="L202" i="1"/>
  <c r="L220" i="1"/>
  <c r="L238" i="1"/>
  <c r="F12" i="13"/>
  <c r="D12" i="13" s="1"/>
  <c r="C12" i="13" s="1"/>
  <c r="G12" i="13"/>
  <c r="L204" i="1"/>
  <c r="L222" i="1"/>
  <c r="L240" i="1"/>
  <c r="F14" i="13"/>
  <c r="G14" i="13"/>
  <c r="D14" i="13" s="1"/>
  <c r="C14" i="13" s="1"/>
  <c r="L206" i="1"/>
  <c r="L224" i="1"/>
  <c r="L242" i="1"/>
  <c r="F15" i="13"/>
  <c r="D15" i="13" s="1"/>
  <c r="C15" i="13" s="1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D29" i="13" s="1"/>
  <c r="C29" i="13" s="1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C84" i="2" s="1"/>
  <c r="C90" i="2" s="1"/>
  <c r="F161" i="1"/>
  <c r="G146" i="1"/>
  <c r="G161" i="1"/>
  <c r="G168" i="1" s="1"/>
  <c r="H146" i="1"/>
  <c r="H161" i="1"/>
  <c r="I146" i="1"/>
  <c r="I161" i="1"/>
  <c r="C12" i="10"/>
  <c r="C13" i="10"/>
  <c r="C15" i="10"/>
  <c r="C16" i="10"/>
  <c r="C17" i="10"/>
  <c r="C18" i="10"/>
  <c r="C19" i="10"/>
  <c r="C20" i="10"/>
  <c r="L249" i="1"/>
  <c r="L331" i="1"/>
  <c r="L253" i="1"/>
  <c r="C24" i="10" s="1"/>
  <c r="C25" i="10"/>
  <c r="L267" i="1"/>
  <c r="L268" i="1"/>
  <c r="L348" i="1"/>
  <c r="L349" i="1"/>
  <c r="I664" i="1"/>
  <c r="I669" i="1"/>
  <c r="G660" i="1"/>
  <c r="F661" i="1"/>
  <c r="G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C18" i="2" s="1"/>
  <c r="D8" i="2"/>
  <c r="E8" i="2"/>
  <c r="E18" i="2" s="1"/>
  <c r="F8" i="2"/>
  <c r="I438" i="1"/>
  <c r="J9" i="1" s="1"/>
  <c r="C9" i="2"/>
  <c r="D9" i="2"/>
  <c r="E9" i="2"/>
  <c r="F9" i="2"/>
  <c r="F18" i="2" s="1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E31" i="2" s="1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F61" i="2" s="1"/>
  <c r="F62" i="2" s="1"/>
  <c r="C65" i="2"/>
  <c r="C66" i="2"/>
  <c r="C69" i="2" s="1"/>
  <c r="C68" i="2"/>
  <c r="D68" i="2"/>
  <c r="D69" i="2" s="1"/>
  <c r="E68" i="2"/>
  <c r="E69" i="2" s="1"/>
  <c r="F68" i="2"/>
  <c r="F69" i="2" s="1"/>
  <c r="G68" i="2"/>
  <c r="G69" i="2" s="1"/>
  <c r="C71" i="2"/>
  <c r="C77" i="2" s="1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D84" i="2"/>
  <c r="E84" i="2"/>
  <c r="F84" i="2"/>
  <c r="F90" i="2" s="1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F102" i="2" s="1"/>
  <c r="C93" i="2"/>
  <c r="F93" i="2"/>
  <c r="D95" i="2"/>
  <c r="E95" i="2"/>
  <c r="F95" i="2"/>
  <c r="G95" i="2"/>
  <c r="G102" i="2" s="1"/>
  <c r="C96" i="2"/>
  <c r="D96" i="2"/>
  <c r="E96" i="2"/>
  <c r="F96" i="2"/>
  <c r="G96" i="2"/>
  <c r="C97" i="2"/>
  <c r="C102" i="2" s="1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E121" i="2"/>
  <c r="C122" i="2"/>
  <c r="E122" i="2"/>
  <c r="E123" i="2"/>
  <c r="C124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G155" i="2" s="1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G158" i="2" s="1"/>
  <c r="C158" i="2"/>
  <c r="D158" i="2"/>
  <c r="E158" i="2"/>
  <c r="F158" i="2"/>
  <c r="B159" i="2"/>
  <c r="C159" i="2"/>
  <c r="D159" i="2"/>
  <c r="E159" i="2"/>
  <c r="F159" i="2"/>
  <c r="F499" i="1"/>
  <c r="B160" i="2" s="1"/>
  <c r="G160" i="2" s="1"/>
  <c r="G499" i="1"/>
  <c r="C160" i="2" s="1"/>
  <c r="H499" i="1"/>
  <c r="D160" i="2" s="1"/>
  <c r="I499" i="1"/>
  <c r="E160" i="2" s="1"/>
  <c r="J499" i="1"/>
  <c r="F160" i="2" s="1"/>
  <c r="B161" i="2"/>
  <c r="C161" i="2"/>
  <c r="G161" i="2" s="1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G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F256" i="1" s="1"/>
  <c r="F270" i="1" s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J616" i="1" s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8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K256" i="1"/>
  <c r="K270" i="1" s="1"/>
  <c r="G159" i="2"/>
  <c r="F31" i="2"/>
  <c r="C26" i="10"/>
  <c r="L327" i="1"/>
  <c r="L350" i="1"/>
  <c r="A31" i="12"/>
  <c r="A40" i="12"/>
  <c r="G8" i="2"/>
  <c r="D61" i="2"/>
  <c r="D62" i="2" s="1"/>
  <c r="D18" i="13"/>
  <c r="C18" i="13" s="1"/>
  <c r="D7" i="13"/>
  <c r="C7" i="13" s="1"/>
  <c r="D18" i="2"/>
  <c r="D17" i="13"/>
  <c r="C17" i="13" s="1"/>
  <c r="E8" i="13"/>
  <c r="C8" i="13" s="1"/>
  <c r="G80" i="2"/>
  <c r="F77" i="2"/>
  <c r="F80" i="2" s="1"/>
  <c r="D31" i="2"/>
  <c r="D49" i="2"/>
  <c r="D50" i="2" s="1"/>
  <c r="F49" i="2"/>
  <c r="F50" i="2" s="1"/>
  <c r="G162" i="2"/>
  <c r="G157" i="2"/>
  <c r="E143" i="2"/>
  <c r="E102" i="2"/>
  <c r="D90" i="2"/>
  <c r="E61" i="2"/>
  <c r="E62" i="2" s="1"/>
  <c r="C31" i="2"/>
  <c r="D19" i="13"/>
  <c r="C19" i="13" s="1"/>
  <c r="E13" i="13"/>
  <c r="C13" i="13" s="1"/>
  <c r="E114" i="2" l="1"/>
  <c r="G61" i="2"/>
  <c r="F544" i="1"/>
  <c r="E90" i="2"/>
  <c r="I662" i="1"/>
  <c r="J641" i="1"/>
  <c r="F660" i="1"/>
  <c r="G31" i="13"/>
  <c r="G33" i="13" s="1"/>
  <c r="L289" i="1"/>
  <c r="C11" i="10"/>
  <c r="F31" i="13"/>
  <c r="I337" i="1"/>
  <c r="I351" i="1" s="1"/>
  <c r="C10" i="10"/>
  <c r="G256" i="1"/>
  <c r="G270" i="1" s="1"/>
  <c r="C21" i="10"/>
  <c r="K433" i="1"/>
  <c r="G133" i="2" s="1"/>
  <c r="G143" i="2" s="1"/>
  <c r="G144" i="2" s="1"/>
  <c r="C61" i="2"/>
  <c r="C62" i="2" s="1"/>
  <c r="D126" i="2"/>
  <c r="D127" i="2" s="1"/>
  <c r="D144" i="2" s="1"/>
  <c r="H660" i="1"/>
  <c r="I660" i="1" s="1"/>
  <c r="L210" i="1"/>
  <c r="C121" i="2"/>
  <c r="J648" i="1"/>
  <c r="L361" i="1"/>
  <c r="I256" i="1"/>
  <c r="I270" i="1" s="1"/>
  <c r="G649" i="1"/>
  <c r="J649" i="1" s="1"/>
  <c r="C123" i="2"/>
  <c r="L228" i="1"/>
  <c r="L246" i="1"/>
  <c r="H659" i="1" s="1"/>
  <c r="F139" i="1"/>
  <c r="G650" i="1"/>
  <c r="H646" i="1"/>
  <c r="H661" i="1"/>
  <c r="I661" i="1" s="1"/>
  <c r="A22" i="12"/>
  <c r="C80" i="2"/>
  <c r="E77" i="2"/>
  <c r="E80" i="2" s="1"/>
  <c r="E103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L433" i="1" s="1"/>
  <c r="G637" i="1" s="1"/>
  <c r="J637" i="1" s="1"/>
  <c r="D80" i="2"/>
  <c r="D103" i="2" s="1"/>
  <c r="I168" i="1"/>
  <c r="H168" i="1"/>
  <c r="C39" i="10" s="1"/>
  <c r="J270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C23" i="10"/>
  <c r="F168" i="1"/>
  <c r="J139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H139" i="1"/>
  <c r="C38" i="10" s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F551" i="1"/>
  <c r="C35" i="10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H192" i="1"/>
  <c r="G628" i="1" s="1"/>
  <c r="J628" i="1" s="1"/>
  <c r="L564" i="1"/>
  <c r="L570" i="1" s="1"/>
  <c r="G544" i="1"/>
  <c r="L544" i="1"/>
  <c r="H544" i="1"/>
  <c r="K550" i="1"/>
  <c r="K551" i="1" s="1"/>
  <c r="F143" i="2"/>
  <c r="F144" i="2" s="1"/>
  <c r="E144" i="2" l="1"/>
  <c r="J647" i="1"/>
  <c r="F659" i="1"/>
  <c r="F663" i="1" s="1"/>
  <c r="F671" i="1" s="1"/>
  <c r="C4" i="10" s="1"/>
  <c r="H663" i="1"/>
  <c r="H666" i="1" s="1"/>
  <c r="C127" i="2"/>
  <c r="C103" i="2"/>
  <c r="C36" i="10"/>
  <c r="C41" i="10" s="1"/>
  <c r="D39" i="10" s="1"/>
  <c r="L256" i="1"/>
  <c r="L270" i="1" s="1"/>
  <c r="G631" i="1" s="1"/>
  <c r="J631" i="1" s="1"/>
  <c r="C27" i="10"/>
  <c r="C28" i="10" s="1"/>
  <c r="G634" i="1"/>
  <c r="J634" i="1" s="1"/>
  <c r="F192" i="1"/>
  <c r="G626" i="1" s="1"/>
  <c r="J626" i="1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C144" i="2" l="1"/>
  <c r="F666" i="1"/>
  <c r="H671" i="1"/>
  <c r="C6" i="10" s="1"/>
  <c r="D25" i="10"/>
  <c r="D22" i="10"/>
  <c r="D24" i="10"/>
  <c r="D15" i="10"/>
  <c r="D17" i="10"/>
  <c r="D19" i="10"/>
  <c r="D16" i="10"/>
  <c r="D12" i="10"/>
  <c r="D21" i="10"/>
  <c r="D27" i="10"/>
  <c r="D23" i="10"/>
  <c r="D11" i="10"/>
  <c r="C30" i="10"/>
  <c r="D26" i="10"/>
  <c r="D18" i="10"/>
  <c r="D13" i="10"/>
  <c r="D20" i="10"/>
  <c r="D10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28" i="10" l="1"/>
  <c r="D41" i="10"/>
  <c r="I666" i="1"/>
  <c r="I671" i="1"/>
  <c r="C7" i="10" s="1"/>
  <c r="G671" i="1"/>
  <c r="C5" i="10" s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<sst xmlns="http://schemas.openxmlformats.org/spreadsheetml/2006/main" count="3945" uniqueCount="912">
  <si>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</si>
  <si>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</si>
  <si>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</si>
  <si>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</si>
  <si>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</si>
  <si>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</si>
  <si>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</si>
  <si>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</si>
  <si>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</si>
  <si>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</si>
  <si>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</si>
  <si>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</si>
  <si>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</si>
  <si>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</si>
  <si>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</si>
  <si>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</si>
  <si>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</si>
  <si>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</si>
  <si>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</si>
  <si>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</si>
  <si>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</si>
  <si>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</si>
  <si>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</si>
  <si>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</si>
  <si>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</si>
  <si>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</si>
  <si>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</si>
  <si>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</si>
  <si>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</si>
  <si>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</si>
  <si>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</si>
  <si>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</si>
  <si>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</si>
  <si>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</si>
  <si>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</si>
  <si>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</si>
  <si>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</si>
  <si>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</si>
  <si>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</si>
  <si>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</si>
  <si>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</si>
  <si>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</si>
  <si>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</si>
  <si>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</si>
  <si>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</si>
  <si>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</si>
  <si>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</si>
  <si>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</si>
  <si>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</si>
  <si>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</si>
  <si>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</si>
  <si>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</si>
  <si>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</si>
  <si>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</si>
  <si>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</si>
  <si>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</si>
  <si>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</si>
  <si>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</si>
  <si>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</si>
  <si>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</si>
  <si>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</si>
  <si>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</si>
  <si>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</si>
  <si>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</si>
  <si>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</si>
  <si>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</si>
  <si>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</si>
  <si>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</si>
  <si>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</si>
  <si>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</si>
  <si>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</si>
  <si>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</si>
  <si>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</si>
  <si>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</si>
  <si>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</si>
  <si>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</si>
  <si>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</si>
  <si>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</si>
  <si>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</si>
  <si>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</si>
  <si>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</si>
  <si>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</si>
  <si>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</si>
  <si>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</si>
  <si>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</si>
  <si>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</si>
  <si>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</si>
  <si>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</si>
  <si>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</si>
  <si>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</si>
  <si>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</si>
  <si>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</si>
  <si>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</si>
  <si>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</si>
  <si>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</si>
  <si>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</si>
  <si>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</si>
  <si>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</si>
  <si>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</si>
  <si>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</si>
  <si>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</si>
  <si>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</si>
  <si>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</si>
  <si>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</si>
  <si>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</si>
  <si>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</si>
  <si>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</si>
  <si>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</si>
  <si>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</si>
  <si>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</si>
  <si>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</si>
  <si>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</si>
  <si>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</si>
  <si>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</si>
  <si>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</si>
  <si>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</si>
  <si>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</si>
  <si>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</si>
  <si>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</si>
  <si>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</si>
  <si>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</si>
  <si>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</si>
  <si>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</si>
  <si>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</si>
  <si>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</si>
  <si>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</si>
  <si>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</si>
  <si>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</si>
  <si>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</si>
  <si>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</si>
  <si>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</si>
  <si>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</si>
  <si>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</si>
  <si>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</si>
  <si>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</si>
  <si>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</si>
  <si>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</si>
  <si>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</si>
  <si>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</si>
  <si>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</si>
  <si>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</si>
  <si>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</si>
  <si>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</si>
  <si>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</si>
  <si>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</si>
  <si>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</si>
  <si>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</si>
  <si>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</si>
  <si>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</si>
  <si>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</si>
  <si>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</si>
  <si>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</si>
  <si>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</si>
  <si>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</si>
  <si>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</si>
  <si>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</si>
  <si>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</si>
  <si>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</si>
  <si>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</si>
  <si>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</si>
  <si>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</si>
  <si>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</si>
  <si>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</si>
  <si>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</si>
  <si>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</si>
  <si>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</si>
  <si>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</si>
  <si>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</si>
  <si>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</si>
  <si>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</si>
  <si>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</si>
  <si>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</si>
  <si>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</si>
  <si>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</si>
  <si>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</si>
  <si>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</si>
  <si>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</si>
  <si>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</si>
  <si>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</si>
  <si>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</si>
  <si>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</si>
  <si>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</si>
  <si>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</si>
  <si>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</si>
  <si>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</si>
  <si>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</si>
  <si>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</si>
  <si>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</si>
  <si>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</si>
  <si>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</si>
  <si>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</si>
  <si>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</si>
  <si>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</si>
  <si>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</si>
  <si>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</si>
  <si>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</si>
  <si>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</si>
  <si>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</si>
  <si>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</si>
  <si>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</si>
  <si>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</si>
  <si>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</si>
  <si>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</si>
  <si>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</si>
  <si>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</si>
  <si>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</si>
  <si>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</si>
  <si>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</si>
  <si>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</si>
  <si>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</si>
  <si>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</si>
  <si>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</si>
  <si>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</si>
  <si>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</si>
  <si>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</si>
  <si>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</si>
  <si>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</si>
  <si>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</si>
  <si>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</si>
  <si>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</si>
  <si>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</si>
  <si>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</si>
  <si>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</si>
  <si>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</si>
  <si>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</si>
  <si>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</si>
  <si>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</si>
  <si>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</si>
  <si>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</si>
  <si>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</si>
  <si>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</si>
  <si>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</si>
  <si>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</si>
  <si>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</si>
  <si>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</si>
  <si>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</si>
  <si>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</si>
  <si>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</si>
  <si>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</si>
  <si>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</si>
  <si>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</si>
  <si>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</si>
  <si>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</si>
  <si>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</si>
  <si>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</si>
  <si>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</si>
  <si>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</si>
  <si>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</si>
  <si>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</si>
  <si>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</si>
  <si>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</si>
  <si>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</si>
  <si>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</si>
  <si>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</si>
  <si>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</si>
  <si>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</si>
  <si>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</si>
  <si>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</si>
  <si>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</si>
  <si>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</si>
  <si>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</si>
  <si>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</si>
  <si>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</si>
  <si>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</si>
  <si>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</si>
  <si>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</si>
  <si>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</si>
  <si>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</si>
  <si>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</si>
  <si>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</si>
  <si>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</si>
  <si>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</si>
  <si>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</si>
  <si>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</si>
  <si>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</si>
  <si>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</si>
  <si>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</si>
  <si>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</si>
  <si>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</si>
  <si>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</si>
  <si>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</si>
  <si>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</si>
  <si>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</si>
  <si>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</si>
  <si>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</si>
  <si>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</si>
  <si>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</si>
  <si>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</si>
  <si>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</si>
  <si>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</si>
  <si>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</si>
  <si>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</si>
  <si>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</si>
  <si>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</si>
  <si>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</si>
  <si>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</si>
  <si>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</si>
  <si>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</si>
  <si>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</si>
  <si>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</si>
  <si>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</si>
  <si>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</si>
  <si>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</si>
  <si>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</si>
  <si>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</si>
  <si>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</si>
  <si>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</si>
  <si>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</si>
  <si>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</si>
  <si>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</si>
  <si>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</si>
  <si>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</si>
  <si>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</si>
  <si>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</si>
  <si>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</si>
  <si>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</si>
  <si>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</si>
  <si>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</si>
  <si>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</si>
  <si>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</si>
  <si>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</si>
  <si>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</si>
  <si>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</si>
  <si>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</si>
  <si>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</si>
  <si>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</si>
  <si>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</si>
  <si>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</si>
  <si>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</si>
  <si>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</si>
  <si>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</si>
  <si>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</si>
  <si>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</si>
  <si>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</si>
  <si>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</si>
  <si>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</si>
  <si>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</si>
  <si>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</si>
  <si>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</si>
  <si>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</si>
  <si>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</si>
  <si>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</si>
  <si>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</si>
  <si>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</si>
  <si>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</si>
  <si>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</si>
  <si>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</si>
  <si>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</si>
  <si>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</si>
  <si>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</si>
  <si>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</si>
  <si>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</si>
  <si>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</si>
  <si>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</si>
  <si>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</si>
  <si>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</si>
  <si>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</si>
  <si>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</si>
  <si>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</si>
  <si>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</si>
  <si>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</si>
  <si>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</si>
  <si>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</si>
  <si>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</si>
  <si>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</si>
  <si>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</si>
  <si>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</si>
  <si>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</si>
  <si>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</si>
  <si>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</si>
  <si>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</si>
  <si>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</si>
  <si>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</si>
  <si>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</si>
  <si>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</si>
  <si>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</si>
  <si>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</si>
  <si>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</si>
  <si>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</si>
  <si>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</si>
  <si>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</si>
  <si>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</si>
  <si>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</si>
  <si>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</si>
  <si>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</si>
  <si>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</si>
  <si>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</si>
  <si>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</si>
  <si>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</si>
  <si>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</si>
  <si>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</si>
  <si>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</si>
  <si>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</si>
  <si>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</si>
  <si>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</si>
  <si>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</si>
  <si>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</si>
  <si>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</si>
  <si>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</si>
  <si>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</si>
  <si>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</si>
  <si>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</si>
  <si>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</si>
  <si>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</si>
  <si>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</si>
  <si>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</si>
  <si>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</si>
  <si>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</si>
  <si>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</si>
  <si>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</si>
  <si>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</si>
  <si>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</si>
  <si>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</si>
  <si>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</si>
  <si>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</si>
  <si>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</si>
  <si>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</si>
  <si>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</si>
  <si>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</si>
  <si>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</si>
  <si>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</si>
  <si>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</si>
  <si>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</si>
  <si>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</si>
  <si>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</si>
  <si>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</si>
  <si>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</si>
  <si>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</si>
  <si>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</si>
  <si>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</si>
  <si>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</si>
  <si>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</si>
  <si>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</si>
  <si>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</si>
  <si>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</si>
  <si>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</si>
  <si>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</si>
  <si>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</si>
  <si>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</si>
  <si>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</si>
  <si>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</si>
  <si>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</si>
  <si>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</si>
  <si>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</si>
  <si>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</si>
  <si>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</si>
  <si>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</si>
  <si>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</si>
  <si>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</si>
  <si>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</si>
  <si>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</si>
  <si>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</si>
  <si>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</si>
  <si>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</si>
  <si>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</si>
  <si>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</si>
  <si>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</si>
  <si>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</si>
  <si>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</si>
  <si>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</si>
  <si>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</si>
  <si>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</si>
  <si>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</si>
  <si>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</si>
  <si>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</si>
  <si>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</si>
  <si>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</si>
  <si>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</si>
  <si>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</si>
  <si>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</si>
  <si>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</si>
  <si>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</si>
  <si>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</si>
  <si>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</si>
  <si>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</si>
  <si>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</si>
  <si>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</si>
  <si>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</si>
  <si>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</si>
  <si>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</si>
  <si>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</si>
  <si>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</si>
  <si>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</si>
  <si>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</si>
  <si>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</si>
  <si>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</si>
  <si>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</si>
  <si>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</si>
  <si>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</si>
  <si>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</si>
  <si>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</si>
  <si>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</si>
  <si>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</si>
  <si>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</si>
  <si>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</si>
  <si>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</si>
  <si>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</si>
  <si>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</si>
  <si>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</si>
  <si>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</si>
  <si>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</si>
  <si>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</si>
  <si>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</si>
  <si>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</si>
  <si>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</si>
  <si>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</si>
  <si>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</si>
  <si>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</si>
  <si>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</si>
  <si>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</si>
  <si>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</si>
  <si>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</si>
  <si>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</si>
  <si>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</si>
  <si>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</si>
  <si>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</si>
  <si>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</si>
  <si>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</si>
  <si>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</si>
  <si>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</si>
  <si>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</si>
  <si>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</si>
  <si>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</si>
  <si>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</si>
  <si>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</si>
  <si>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</si>
  <si>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</si>
  <si>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</si>
  <si>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</si>
  <si>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</si>
  <si>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</si>
  <si>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</si>
  <si>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</si>
  <si>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</si>
  <si>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</si>
  <si>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</si>
  <si>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</si>
  <si>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</si>
  <si>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</si>
  <si>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</si>
  <si>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</si>
  <si>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</si>
  <si>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</si>
  <si>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</si>
  <si>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</si>
  <si>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</si>
  <si>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</si>
  <si>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</si>
  <si>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</si>
  <si>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</si>
  <si>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</si>
  <si>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</si>
  <si>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</si>
  <si>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</si>
  <si>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</si>
  <si>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</si>
  <si>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</si>
  <si>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</si>
  <si>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</si>
  <si>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</si>
  <si>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</si>
  <si>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</si>
  <si>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</si>
  <si>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</si>
  <si>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</si>
  <si>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</si>
  <si>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</si>
  <si>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</si>
  <si>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</si>
  <si>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</si>
  <si>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</si>
  <si>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</si>
  <si>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</si>
  <si>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</si>
  <si>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</si>
  <si>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</si>
  <si>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</si>
  <si>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</si>
  <si>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</si>
  <si>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</si>
  <si>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</si>
  <si>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</si>
  <si>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</si>
  <si>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</si>
  <si>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</si>
  <si>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</si>
  <si>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</si>
  <si>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</si>
  <si>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</si>
  <si>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</si>
  <si>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</si>
  <si>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</si>
  <si>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</si>
  <si>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</si>
  <si>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</si>
  <si>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</si>
  <si>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</si>
  <si>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</si>
  <si>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</si>
  <si>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</si>
  <si>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</si>
  <si>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</si>
  <si>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</si>
  <si>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</si>
  <si>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</si>
  <si>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</si>
  <si>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</si>
  <si>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</si>
  <si>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</si>
  <si>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</si>
  <si>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</si>
  <si>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</si>
  <si>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</si>
  <si>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</si>
  <si>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</si>
  <si>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</si>
  <si>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</si>
  <si>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</si>
  <si>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</si>
  <si>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</si>
  <si>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</si>
  <si>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</si>
  <si>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</si>
  <si>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</si>
  <si>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</si>
  <si>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</si>
  <si>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</si>
  <si>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</si>
  <si>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</si>
  <si>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</si>
  <si>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</si>
  <si>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</si>
  <si>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</si>
  <si>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</si>
  <si>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</si>
  <si>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</si>
  <si>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</si>
  <si>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</si>
  <si>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</si>
  <si>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</si>
  <si>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</si>
  <si>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</si>
  <si>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</si>
  <si>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</si>
  <si>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</si>
  <si>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</si>
  <si>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</si>
  <si>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</si>
  <si>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</si>
  <si>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</si>
  <si>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</si>
  <si>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</si>
  <si>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</si>
  <si>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</si>
  <si>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</si>
  <si>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</si>
  <si>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</si>
  <si>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</si>
  <si>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</si>
  <si>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</si>
  <si>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</si>
  <si>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</si>
  <si>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</si>
  <si>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</si>
  <si>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</si>
  <si>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</si>
  <si>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</si>
  <si>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</si>
  <si>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</si>
  <si>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</si>
  <si>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</si>
  <si>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</si>
  <si>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</si>
  <si>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</si>
  <si>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</si>
  <si>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</si>
  <si>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</si>
  <si>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</si>
  <si>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</si>
  <si>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</si>
  <si>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</si>
  <si>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</si>
  <si>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</si>
  <si>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</si>
  <si>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</si>
  <si>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</si>
  <si>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</si>
  <si>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</si>
  <si>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</si>
  <si>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</si>
  <si>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</si>
  <si>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</si>
  <si>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</si>
  <si>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</si>
  <si>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</si>
  <si>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</si>
  <si>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</si>
  <si>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</si>
  <si>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</si>
  <si>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</si>
  <si>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</si>
  <si>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</si>
  <si>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</si>
  <si>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</si>
  <si>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</si>
  <si>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</si>
  <si>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</si>
  <si>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</si>
  <si>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</si>
  <si>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</si>
  <si>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</si>
  <si>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</si>
  <si>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</si>
  <si>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</si>
  <si>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</si>
  <si>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</si>
  <si>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</si>
  <si>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</si>
  <si>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</si>
  <si>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</si>
  <si>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</si>
  <si>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</si>
  <si>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</si>
  <si>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</si>
  <si>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</si>
  <si>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</si>
  <si>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</si>
  <si>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</si>
  <si>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</si>
  <si>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</si>
  <si>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</si>
  <si>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</si>
  <si>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</si>
  <si>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</si>
  <si>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</si>
  <si>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</si>
  <si>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</si>
  <si>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</si>
  <si>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</si>
  <si>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</si>
  <si>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</si>
  <si>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</si>
  <si>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</si>
  <si>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</si>
  <si>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</si>
  <si>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</si>
  <si>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</si>
  <si>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</si>
  <si>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</si>
  <si>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</si>
  <si>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</si>
  <si>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</si>
  <si>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</si>
  <si>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</si>
  <si>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</si>
  <si>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</si>
  <si>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</si>
  <si>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</si>
  <si>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</si>
  <si>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</si>
  <si>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</si>
  <si>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</si>
  <si>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</si>
  <si>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</si>
  <si>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</si>
  <si>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</si>
  <si>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</si>
  <si>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</si>
  <si>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</si>
  <si>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</si>
  <si>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</si>
  <si>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</si>
  <si>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</si>
  <si>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</si>
  <si>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</si>
  <si>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</si>
  <si>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</si>
  <si>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</si>
  <si>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</si>
  <si>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</si>
  <si>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</si>
  <si>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</si>
  <si>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</si>
  <si>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</si>
  <si>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</si>
  <si>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</si>
  <si>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</si>
  <si>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</si>
  <si>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</si>
  <si>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</si>
  <si>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</si>
  <si>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</si>
  <si>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</si>
  <si>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</si>
  <si>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</si>
  <si>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</si>
  <si>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</si>
  <si>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</si>
  <si>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</si>
  <si>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</si>
  <si>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</si>
  <si>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</si>
  <si>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</si>
  <si>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</si>
  <si>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</si>
  <si>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</si>
  <si>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</si>
  <si>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</si>
  <si>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</si>
  <si>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</si>
  <si>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</si>
  <si>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</si>
  <si>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</si>
  <si>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</si>
  <si>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</si>
  <si>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</si>
  <si>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</si>
  <si>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</si>
  <si>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</si>
  <si>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</si>
  <si>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</si>
  <si>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</si>
  <si>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</si>
  <si>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</si>
  <si>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</si>
  <si>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</si>
  <si>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</si>
  <si>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</si>
  <si>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</si>
  <si>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</si>
  <si>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</si>
  <si>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</si>
  <si>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</si>
  <si>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</si>
  <si>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</si>
  <si>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</si>
  <si>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</si>
  <si>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</si>
  <si>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</si>
  <si>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</si>
  <si>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</si>
  <si>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</si>
  <si>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</si>
  <si>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</si>
  <si>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</si>
  <si>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</si>
  <si>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</si>
  <si>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</si>
  <si>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</si>
  <si>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</si>
  <si>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</si>
  <si>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</si>
  <si>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</si>
  <si>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</si>
  <si>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</si>
  <si>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</si>
  <si>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</si>
  <si>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</si>
  <si>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</si>
  <si>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</si>
  <si>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</si>
  <si>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</si>
  <si>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</si>
  <si>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</si>
  <si>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</si>
  <si>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</si>
  <si>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</si>
  <si>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</si>
  <si>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</si>
  <si>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</si>
  <si>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</si>
  <si>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</si>
  <si>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</si>
  <si>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</si>
  <si>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</si>
  <si>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</si>
  <si>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</si>
  <si>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</si>
  <si>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</si>
  <si>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</si>
  <si>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</si>
  <si>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</si>
  <si>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</si>
  <si>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</si>
  <si>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</si>
  <si>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</si>
  <si>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</si>
  <si>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</si>
  <si>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</si>
  <si>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</si>
  <si>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</si>
  <si>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</si>
  <si>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</si>
  <si>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</si>
  <si>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</si>
  <si>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</si>
  <si>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</si>
  <si>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</si>
  <si>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</si>
  <si>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</si>
  <si>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</si>
  <si>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</si>
  <si>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</si>
  <si>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</si>
  <si>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</si>
  <si>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</si>
  <si>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</si>
  <si>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</si>
  <si>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</si>
  <si>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08/02</t>
  </si>
  <si>
    <t>08/22</t>
  </si>
  <si>
    <t>Gilford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</si>
</sst>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911</v>
      </c>
      <c r="B2" s="21">
        <v>191</v>
      </c>
      <c r="C2" s="21">
        <v>191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937760.87</v>
      </c>
      <c r="G9" s="18">
        <v>94210.58</v>
      </c>
      <c r="H9" s="18">
        <v>12388.24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11282.81</v>
      </c>
      <c r="G13" s="18">
        <v>7193.08</v>
      </c>
      <c r="H13" s="18"/>
      <c r="I13" s="18"/>
      <c r="J13" s="67">
        <f>SUM(I441)</f>
        <v>185082.79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1278563.73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7746.26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2227607.41</v>
      </c>
      <c r="G19" s="41">
        <f>SUM(G9:G18)</f>
        <v>109149.92</v>
      </c>
      <c r="H19" s="41">
        <f>SUM(H9:H18)</f>
        <v>12388.24</v>
      </c>
      <c r="I19" s="41">
        <f>SUM(I9:I18)</f>
        <v>0</v>
      </c>
      <c r="J19" s="41">
        <f>SUM(J9:J18)</f>
        <v>185082.79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93897.08</v>
      </c>
      <c r="G23" s="18"/>
      <c r="H23" s="18">
        <v>12388.24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944132.16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111913</v>
      </c>
      <c r="G30" s="18">
        <v>8310.3799999999992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1149942.24</v>
      </c>
      <c r="G32" s="41">
        <f>SUM(G22:G31)</f>
        <v>8310.3799999999992</v>
      </c>
      <c r="H32" s="41">
        <f>SUM(H22:H31)</f>
        <v>12388.24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185082.79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252820.25</v>
      </c>
      <c r="G47" s="18">
        <v>100839.54</v>
      </c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824844.92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1077665.17</v>
      </c>
      <c r="G50" s="41">
        <f>SUM(G35:G49)</f>
        <v>100839.54</v>
      </c>
      <c r="H50" s="41">
        <f>SUM(H35:H49)</f>
        <v>0</v>
      </c>
      <c r="I50" s="41">
        <f>SUM(I35:I49)</f>
        <v>0</v>
      </c>
      <c r="J50" s="41">
        <f>SUM(J35:J49)</f>
        <v>185082.79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2227607.41</v>
      </c>
      <c r="G51" s="41">
        <f>G50+G32</f>
        <v>109149.92</v>
      </c>
      <c r="H51" s="41">
        <f>H50+H32</f>
        <v>12388.24</v>
      </c>
      <c r="I51" s="41">
        <f>I50+I32</f>
        <v>0</v>
      </c>
      <c r="J51" s="41">
        <f>J50+J32</f>
        <v>185082.79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14233054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14233054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86577.7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29960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2625779.56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2742317.2600000002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5262.89</v>
      </c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5262.89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3156</v>
      </c>
      <c r="G95" s="18"/>
      <c r="H95" s="18"/>
      <c r="I95" s="18"/>
      <c r="J95" s="18">
        <v>406.87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302199.25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12975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>
        <v>350.21</v>
      </c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259047.05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275178.05</v>
      </c>
      <c r="G110" s="41">
        <f>SUM(G95:G109)</f>
        <v>302199.25</v>
      </c>
      <c r="H110" s="41">
        <f>SUM(H95:H109)</f>
        <v>0</v>
      </c>
      <c r="I110" s="41">
        <f>SUM(I95:I109)</f>
        <v>0</v>
      </c>
      <c r="J110" s="41">
        <f>SUM(J95:J109)</f>
        <v>757.07999999999993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17255812.200000003</v>
      </c>
      <c r="G111" s="41">
        <f>G59+G110</f>
        <v>302199.25</v>
      </c>
      <c r="H111" s="41">
        <f>H59+H78+H93+H110</f>
        <v>0</v>
      </c>
      <c r="I111" s="41">
        <f>I59+I110</f>
        <v>0</v>
      </c>
      <c r="J111" s="41">
        <f>J59+J110</f>
        <v>757.07999999999993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623577.71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4051042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4">
        <v>540.29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4675160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314593.78999999998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80392.649999999994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5262.89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5287.63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400249.32999999996</v>
      </c>
      <c r="G135" s="41">
        <f>SUM(G122:G134)</f>
        <v>5287.63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5075409.33</v>
      </c>
      <c r="G139" s="41">
        <f>G120+SUM(G135:G136)</f>
        <v>5287.63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99353.3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99353.3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>
        <v>236115.74</v>
      </c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144985.70000000001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48902.54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133800.29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54452.25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54452.25</v>
      </c>
      <c r="G161" s="41">
        <f>SUM(G149:G160)</f>
        <v>133800.29</v>
      </c>
      <c r="H161" s="41">
        <f>SUM(H149:H160)</f>
        <v>430003.98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153805.54999999999</v>
      </c>
      <c r="G168" s="41">
        <f>G146+G161+SUM(G162:G167)</f>
        <v>133800.29</v>
      </c>
      <c r="H168" s="41">
        <f>H146+H161+SUM(H162:H167)</f>
        <v>430003.98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50000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50000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50000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22535027.080000002</v>
      </c>
      <c r="G192" s="47">
        <f>G111+G139+G168+G191</f>
        <v>441287.17000000004</v>
      </c>
      <c r="H192" s="47">
        <f>H111+H139+H168+H191</f>
        <v>430003.98</v>
      </c>
      <c r="I192" s="47">
        <f>I111+I139+I168+I191</f>
        <v>0</v>
      </c>
      <c r="J192" s="47">
        <f>J111+J139+J191</f>
        <v>757.07999999999993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1679516.38</v>
      </c>
      <c r="G196" s="18">
        <v>958836.01</v>
      </c>
      <c r="H196" s="18">
        <v>16873.64</v>
      </c>
      <c r="I196" s="18">
        <v>66876.77</v>
      </c>
      <c r="J196" s="18">
        <v>3210.44</v>
      </c>
      <c r="K196" s="18">
        <v>908.86</v>
      </c>
      <c r="L196" s="19">
        <f>SUM(F196:K196)</f>
        <v>2726222.0999999996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612944.85</v>
      </c>
      <c r="G197" s="18">
        <v>573073.56000000006</v>
      </c>
      <c r="H197" s="18">
        <v>289149.40000000002</v>
      </c>
      <c r="I197" s="18">
        <v>1300.0899999999999</v>
      </c>
      <c r="J197" s="18">
        <v>4087.22</v>
      </c>
      <c r="K197" s="18"/>
      <c r="L197" s="19">
        <f>SUM(F197:K197)</f>
        <v>1480555.12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78656.399999999994</v>
      </c>
      <c r="G199" s="18">
        <v>23580.12</v>
      </c>
      <c r="H199" s="18">
        <v>3300</v>
      </c>
      <c r="I199" s="18">
        <v>13723.36</v>
      </c>
      <c r="J199" s="18"/>
      <c r="K199" s="18"/>
      <c r="L199" s="19">
        <f>SUM(F199:K199)</f>
        <v>119259.87999999999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115551.92</v>
      </c>
      <c r="G201" s="18">
        <v>61730.98</v>
      </c>
      <c r="H201" s="18">
        <v>146008.62</v>
      </c>
      <c r="I201" s="18">
        <v>3509.66</v>
      </c>
      <c r="J201" s="18"/>
      <c r="K201" s="18"/>
      <c r="L201" s="19">
        <f t="shared" ref="L201:L207" si="0">SUM(F201:K201)</f>
        <v>326801.18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109137.2</v>
      </c>
      <c r="G202" s="18">
        <v>26631.62</v>
      </c>
      <c r="H202" s="18">
        <v>35777.760000000002</v>
      </c>
      <c r="I202" s="18">
        <v>38327.22</v>
      </c>
      <c r="J202" s="18">
        <v>20200</v>
      </c>
      <c r="K202" s="18"/>
      <c r="L202" s="19">
        <f t="shared" si="0"/>
        <v>230073.80000000002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49676.53</v>
      </c>
      <c r="G203" s="18">
        <v>10423.67</v>
      </c>
      <c r="H203" s="18">
        <v>22382.42</v>
      </c>
      <c r="I203" s="18"/>
      <c r="J203" s="18"/>
      <c r="K203" s="18">
        <v>4067.69</v>
      </c>
      <c r="L203" s="19">
        <f t="shared" si="0"/>
        <v>86550.31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212062.86</v>
      </c>
      <c r="G204" s="18">
        <v>89545.600000000006</v>
      </c>
      <c r="H204" s="18">
        <v>18072.32</v>
      </c>
      <c r="I204" s="18">
        <v>1832.59</v>
      </c>
      <c r="J204" s="18"/>
      <c r="K204" s="18">
        <v>863</v>
      </c>
      <c r="L204" s="19">
        <f t="shared" si="0"/>
        <v>322376.37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54593.45</v>
      </c>
      <c r="G205" s="18">
        <v>9756.67</v>
      </c>
      <c r="H205" s="18">
        <v>37366.25</v>
      </c>
      <c r="I205" s="18">
        <v>1972.95</v>
      </c>
      <c r="J205" s="18"/>
      <c r="K205" s="18">
        <v>957.46</v>
      </c>
      <c r="L205" s="19">
        <f t="shared" si="0"/>
        <v>104646.78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185889.43</v>
      </c>
      <c r="G206" s="18">
        <v>118263.49</v>
      </c>
      <c r="H206" s="18">
        <v>283233.95</v>
      </c>
      <c r="I206" s="18">
        <v>163932.54</v>
      </c>
      <c r="J206" s="18">
        <v>1286.19</v>
      </c>
      <c r="K206" s="18"/>
      <c r="L206" s="19">
        <f t="shared" si="0"/>
        <v>752605.6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143343.51999999999</v>
      </c>
      <c r="I207" s="18"/>
      <c r="J207" s="18"/>
      <c r="K207" s="18"/>
      <c r="L207" s="19">
        <f t="shared" si="0"/>
        <v>143343.51999999999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3098029.02</v>
      </c>
      <c r="G210" s="41">
        <f t="shared" si="1"/>
        <v>1871841.7200000002</v>
      </c>
      <c r="H210" s="41">
        <f t="shared" si="1"/>
        <v>995507.88000000012</v>
      </c>
      <c r="I210" s="41">
        <f t="shared" si="1"/>
        <v>291475.18</v>
      </c>
      <c r="J210" s="41">
        <f t="shared" si="1"/>
        <v>28783.85</v>
      </c>
      <c r="K210" s="41">
        <f t="shared" si="1"/>
        <v>6797.01</v>
      </c>
      <c r="L210" s="41">
        <f t="shared" si="1"/>
        <v>6292434.6599999983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1598593.19</v>
      </c>
      <c r="G214" s="18">
        <v>818105.46</v>
      </c>
      <c r="H214" s="18">
        <v>20748.41</v>
      </c>
      <c r="I214" s="18">
        <v>52024.5</v>
      </c>
      <c r="J214" s="18">
        <v>8514</v>
      </c>
      <c r="K214" s="18"/>
      <c r="L214" s="19">
        <f>SUM(F214:K214)</f>
        <v>2497985.56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561487.86</v>
      </c>
      <c r="G215" s="18">
        <v>454400.23</v>
      </c>
      <c r="H215" s="18">
        <v>236294.61</v>
      </c>
      <c r="I215" s="18">
        <v>775.03</v>
      </c>
      <c r="J215" s="18">
        <v>2575</v>
      </c>
      <c r="K215" s="18"/>
      <c r="L215" s="19">
        <f>SUM(F215:K215)</f>
        <v>1255532.73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62688</v>
      </c>
      <c r="G217" s="18">
        <v>21581.02</v>
      </c>
      <c r="H217" s="18">
        <v>23624</v>
      </c>
      <c r="I217" s="18">
        <v>8575.7000000000007</v>
      </c>
      <c r="J217" s="18">
        <v>1500</v>
      </c>
      <c r="K217" s="18"/>
      <c r="L217" s="19">
        <f>SUM(F217:K217)</f>
        <v>117968.72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160390.85</v>
      </c>
      <c r="G219" s="18">
        <v>70654.240000000005</v>
      </c>
      <c r="H219" s="18">
        <v>69364.63</v>
      </c>
      <c r="I219" s="18">
        <v>979.69</v>
      </c>
      <c r="J219" s="18"/>
      <c r="K219" s="18"/>
      <c r="L219" s="19">
        <f t="shared" ref="L219:L225" si="2">SUM(F219:K219)</f>
        <v>301389.41000000003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113298.28</v>
      </c>
      <c r="G220" s="18">
        <v>81311.28</v>
      </c>
      <c r="H220" s="18">
        <v>44714.85</v>
      </c>
      <c r="I220" s="18">
        <v>49629.07</v>
      </c>
      <c r="J220" s="18">
        <v>27958.91</v>
      </c>
      <c r="K220" s="18"/>
      <c r="L220" s="19">
        <f t="shared" si="2"/>
        <v>316912.38999999996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46471.6</v>
      </c>
      <c r="G221" s="18">
        <v>10423.67</v>
      </c>
      <c r="H221" s="18">
        <v>20938.37</v>
      </c>
      <c r="I221" s="18"/>
      <c r="J221" s="18"/>
      <c r="K221" s="18">
        <v>3805.26</v>
      </c>
      <c r="L221" s="19">
        <f t="shared" si="2"/>
        <v>81638.899999999994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260192.47</v>
      </c>
      <c r="G222" s="18">
        <v>123331.77</v>
      </c>
      <c r="H222" s="18">
        <v>17934.02</v>
      </c>
      <c r="I222" s="18"/>
      <c r="J222" s="18"/>
      <c r="K222" s="18">
        <v>1830.19</v>
      </c>
      <c r="L222" s="19">
        <f t="shared" si="2"/>
        <v>403288.45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51071.28</v>
      </c>
      <c r="G223" s="18">
        <v>9756.67</v>
      </c>
      <c r="H223" s="18">
        <v>34955.519999999997</v>
      </c>
      <c r="I223" s="18">
        <v>1845.67</v>
      </c>
      <c r="J223" s="18"/>
      <c r="K223" s="18">
        <v>895.68</v>
      </c>
      <c r="L223" s="19">
        <f t="shared" si="2"/>
        <v>98524.819999999992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209979.22</v>
      </c>
      <c r="G224" s="18">
        <v>111747.2</v>
      </c>
      <c r="H224" s="18">
        <v>160639.51999999999</v>
      </c>
      <c r="I224" s="18">
        <v>226924.88</v>
      </c>
      <c r="J224" s="18">
        <v>2911.27</v>
      </c>
      <c r="K224" s="18"/>
      <c r="L224" s="19">
        <f t="shared" si="2"/>
        <v>712202.09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176596.21</v>
      </c>
      <c r="I225" s="18"/>
      <c r="J225" s="18"/>
      <c r="K225" s="18"/>
      <c r="L225" s="19">
        <f t="shared" si="2"/>
        <v>176596.21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3064172.75</v>
      </c>
      <c r="G228" s="41">
        <f>SUM(G214:G227)</f>
        <v>1701311.5399999998</v>
      </c>
      <c r="H228" s="41">
        <f>SUM(H214:H227)</f>
        <v>805810.14</v>
      </c>
      <c r="I228" s="41">
        <f>SUM(I214:I227)</f>
        <v>340754.54</v>
      </c>
      <c r="J228" s="41">
        <f>SUM(J214:J227)</f>
        <v>43459.18</v>
      </c>
      <c r="K228" s="41">
        <f t="shared" si="3"/>
        <v>6531.130000000001</v>
      </c>
      <c r="L228" s="41">
        <f t="shared" si="3"/>
        <v>5962039.2800000012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2665704.87</v>
      </c>
      <c r="G232" s="18">
        <v>1231527.52</v>
      </c>
      <c r="H232" s="18">
        <v>33633.89</v>
      </c>
      <c r="I232" s="18">
        <v>101516.82</v>
      </c>
      <c r="J232" s="18">
        <v>35984.61</v>
      </c>
      <c r="K232" s="18"/>
      <c r="L232" s="19">
        <f>SUM(F232:K232)</f>
        <v>4068367.71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400204.38</v>
      </c>
      <c r="G233" s="18">
        <v>324575</v>
      </c>
      <c r="H233" s="18">
        <v>261995.58</v>
      </c>
      <c r="I233" s="18">
        <v>1292.01</v>
      </c>
      <c r="J233" s="18">
        <v>570</v>
      </c>
      <c r="K233" s="18"/>
      <c r="L233" s="19">
        <f>SUM(F233:K233)</f>
        <v>988636.97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220578.55</v>
      </c>
      <c r="I234" s="18"/>
      <c r="J234" s="18"/>
      <c r="K234" s="18"/>
      <c r="L234" s="19">
        <f>SUM(F234:K234)</f>
        <v>220578.55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127988</v>
      </c>
      <c r="G235" s="18">
        <v>41878.699999999997</v>
      </c>
      <c r="H235" s="18">
        <v>75133</v>
      </c>
      <c r="I235" s="18">
        <v>46425.04</v>
      </c>
      <c r="J235" s="18">
        <v>1000</v>
      </c>
      <c r="K235" s="18"/>
      <c r="L235" s="19">
        <f>SUM(F235:K235)</f>
        <v>292424.74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283358.07</v>
      </c>
      <c r="G237" s="18">
        <v>111688.34</v>
      </c>
      <c r="H237" s="18">
        <v>44398.91</v>
      </c>
      <c r="I237" s="18">
        <v>5761.92</v>
      </c>
      <c r="J237" s="18">
        <v>450</v>
      </c>
      <c r="K237" s="18"/>
      <c r="L237" s="19">
        <f t="shared" ref="L237:L243" si="4">SUM(F237:K237)</f>
        <v>445657.24000000005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128408.69</v>
      </c>
      <c r="G238" s="18">
        <v>77271.55</v>
      </c>
      <c r="H238" s="18">
        <v>50093.75</v>
      </c>
      <c r="I238" s="18">
        <v>60437.55</v>
      </c>
      <c r="J238" s="18">
        <v>51003.35</v>
      </c>
      <c r="K238" s="18"/>
      <c r="L238" s="19">
        <f t="shared" si="4"/>
        <v>367214.88999999996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64098.75</v>
      </c>
      <c r="G239" s="18">
        <v>10423.67</v>
      </c>
      <c r="H239" s="18">
        <v>28880.54</v>
      </c>
      <c r="I239" s="18"/>
      <c r="J239" s="18"/>
      <c r="K239" s="18">
        <v>5248.64</v>
      </c>
      <c r="L239" s="19">
        <f t="shared" si="4"/>
        <v>108651.59999999999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419583.6</v>
      </c>
      <c r="G240" s="18">
        <v>172490.68</v>
      </c>
      <c r="H240" s="18">
        <v>48323.24</v>
      </c>
      <c r="I240" s="18">
        <v>1883.05</v>
      </c>
      <c r="J240" s="18"/>
      <c r="K240" s="18">
        <v>17099.45</v>
      </c>
      <c r="L240" s="19">
        <f t="shared" si="4"/>
        <v>659380.02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70443.16</v>
      </c>
      <c r="G241" s="18">
        <v>9756.67</v>
      </c>
      <c r="H241" s="18">
        <v>48214.51</v>
      </c>
      <c r="I241" s="18">
        <v>2545.7399999999998</v>
      </c>
      <c r="J241" s="18"/>
      <c r="K241" s="18">
        <v>1235.43</v>
      </c>
      <c r="L241" s="19">
        <f t="shared" si="4"/>
        <v>132195.51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286488.37</v>
      </c>
      <c r="G242" s="18">
        <v>181881.3</v>
      </c>
      <c r="H242" s="18">
        <v>291002.65999999997</v>
      </c>
      <c r="I242" s="18">
        <v>314083.87</v>
      </c>
      <c r="J242" s="18">
        <v>1298.3</v>
      </c>
      <c r="K242" s="18"/>
      <c r="L242" s="19">
        <f t="shared" si="4"/>
        <v>1074754.5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233985.25</v>
      </c>
      <c r="I243" s="18"/>
      <c r="J243" s="18"/>
      <c r="K243" s="18"/>
      <c r="L243" s="19">
        <f t="shared" si="4"/>
        <v>233985.25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4446277.8899999997</v>
      </c>
      <c r="G246" s="41">
        <f t="shared" si="5"/>
        <v>2161493.4299999997</v>
      </c>
      <c r="H246" s="41">
        <f t="shared" si="5"/>
        <v>1336239.8800000001</v>
      </c>
      <c r="I246" s="41">
        <f t="shared" si="5"/>
        <v>533946</v>
      </c>
      <c r="J246" s="41">
        <f t="shared" si="5"/>
        <v>90306.26</v>
      </c>
      <c r="K246" s="41">
        <f t="shared" si="5"/>
        <v>23583.52</v>
      </c>
      <c r="L246" s="41">
        <f t="shared" si="5"/>
        <v>8591846.9799999986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10608479.66</v>
      </c>
      <c r="G256" s="41">
        <f t="shared" si="8"/>
        <v>5734646.6899999995</v>
      </c>
      <c r="H256" s="41">
        <f t="shared" si="8"/>
        <v>3137557.9000000004</v>
      </c>
      <c r="I256" s="41">
        <f t="shared" si="8"/>
        <v>1166175.72</v>
      </c>
      <c r="J256" s="41">
        <f t="shared" si="8"/>
        <v>162549.28999999998</v>
      </c>
      <c r="K256" s="41">
        <f t="shared" si="8"/>
        <v>36911.660000000003</v>
      </c>
      <c r="L256" s="41">
        <f t="shared" si="8"/>
        <v>20846320.919999998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850000</v>
      </c>
      <c r="L259" s="19">
        <f>SUM(F259:K259)</f>
        <v>850000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415779</v>
      </c>
      <c r="L260" s="19">
        <f>SUM(F260:K260)</f>
        <v>415779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1265779</v>
      </c>
      <c r="L269" s="41">
        <f t="shared" si="9"/>
        <v>1265779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10608479.66</v>
      </c>
      <c r="G270" s="42">
        <f t="shared" si="11"/>
        <v>5734646.6899999995</v>
      </c>
      <c r="H270" s="42">
        <f t="shared" si="11"/>
        <v>3137557.9000000004</v>
      </c>
      <c r="I270" s="42">
        <f t="shared" si="11"/>
        <v>1166175.72</v>
      </c>
      <c r="J270" s="42">
        <f t="shared" si="11"/>
        <v>162549.28999999998</v>
      </c>
      <c r="K270" s="42">
        <f t="shared" si="11"/>
        <v>1302690.6599999999</v>
      </c>
      <c r="L270" s="42">
        <f t="shared" si="11"/>
        <v>22112099.919999998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122501.1</v>
      </c>
      <c r="G275" s="18"/>
      <c r="H275" s="18"/>
      <c r="I275" s="18">
        <v>4855.16</v>
      </c>
      <c r="J275" s="18"/>
      <c r="K275" s="18"/>
      <c r="L275" s="19">
        <f>SUM(F275:K275)</f>
        <v>127356.26000000001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41273.67</v>
      </c>
      <c r="G276" s="18">
        <v>7958.26</v>
      </c>
      <c r="H276" s="18">
        <v>2972.37</v>
      </c>
      <c r="I276" s="18">
        <v>628.82000000000005</v>
      </c>
      <c r="J276" s="18">
        <v>866.65</v>
      </c>
      <c r="K276" s="18"/>
      <c r="L276" s="19">
        <f>SUM(F276:K276)</f>
        <v>53699.770000000004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27132.61</v>
      </c>
      <c r="I280" s="18"/>
      <c r="J280" s="18"/>
      <c r="K280" s="18">
        <v>246.95</v>
      </c>
      <c r="L280" s="19">
        <f t="shared" ref="L280:L286" si="12">SUM(F280:K280)</f>
        <v>27379.56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4228.66</v>
      </c>
      <c r="G281" s="18"/>
      <c r="H281" s="18">
        <v>8359.2999999999993</v>
      </c>
      <c r="I281" s="18">
        <v>1385.46</v>
      </c>
      <c r="J281" s="18"/>
      <c r="K281" s="18">
        <v>60</v>
      </c>
      <c r="L281" s="19">
        <f t="shared" si="12"/>
        <v>14033.419999999998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168003.43000000002</v>
      </c>
      <c r="G289" s="42">
        <f t="shared" si="13"/>
        <v>7958.26</v>
      </c>
      <c r="H289" s="42">
        <f t="shared" si="13"/>
        <v>38464.28</v>
      </c>
      <c r="I289" s="42">
        <f t="shared" si="13"/>
        <v>6869.44</v>
      </c>
      <c r="J289" s="42">
        <f t="shared" si="13"/>
        <v>866.65</v>
      </c>
      <c r="K289" s="42">
        <f t="shared" si="13"/>
        <v>306.95</v>
      </c>
      <c r="L289" s="41">
        <f t="shared" si="13"/>
        <v>222469.01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>
        <v>863.45</v>
      </c>
      <c r="J294" s="18"/>
      <c r="K294" s="18"/>
      <c r="L294" s="19">
        <f>SUM(F294:K294)</f>
        <v>863.45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42473.67</v>
      </c>
      <c r="G295" s="18">
        <v>7958.26</v>
      </c>
      <c r="H295" s="18"/>
      <c r="I295" s="18">
        <v>540.34</v>
      </c>
      <c r="J295" s="18">
        <v>866.65</v>
      </c>
      <c r="K295" s="18"/>
      <c r="L295" s="19">
        <f>SUM(F295:K295)</f>
        <v>51838.92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>
        <v>27132.61</v>
      </c>
      <c r="I299" s="18"/>
      <c r="J299" s="18"/>
      <c r="K299" s="18"/>
      <c r="L299" s="19">
        <f t="shared" ref="L299:L305" si="14">SUM(F299:K299)</f>
        <v>27132.61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4228.67</v>
      </c>
      <c r="G300" s="18"/>
      <c r="H300" s="18">
        <v>8359.2999999999993</v>
      </c>
      <c r="I300" s="18">
        <v>1255.6199999999999</v>
      </c>
      <c r="J300" s="18"/>
      <c r="K300" s="18">
        <v>60</v>
      </c>
      <c r="L300" s="19">
        <f t="shared" si="14"/>
        <v>13903.59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46702.34</v>
      </c>
      <c r="G308" s="42">
        <f t="shared" si="15"/>
        <v>7958.26</v>
      </c>
      <c r="H308" s="42">
        <f t="shared" si="15"/>
        <v>35491.910000000003</v>
      </c>
      <c r="I308" s="42">
        <f t="shared" si="15"/>
        <v>2659.41</v>
      </c>
      <c r="J308" s="42">
        <f t="shared" si="15"/>
        <v>866.65</v>
      </c>
      <c r="K308" s="42">
        <f t="shared" si="15"/>
        <v>60</v>
      </c>
      <c r="L308" s="41">
        <f t="shared" si="15"/>
        <v>93738.569999999992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>
        <v>863.43</v>
      </c>
      <c r="J313" s="18"/>
      <c r="K313" s="18"/>
      <c r="L313" s="19">
        <f>SUM(F313:K313)</f>
        <v>863.43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42473.67</v>
      </c>
      <c r="G314" s="18">
        <v>7958.25</v>
      </c>
      <c r="H314" s="18"/>
      <c r="I314" s="18">
        <v>410.5</v>
      </c>
      <c r="J314" s="18">
        <v>866.65</v>
      </c>
      <c r="K314" s="18"/>
      <c r="L314" s="19">
        <f>SUM(F314:K314)</f>
        <v>51709.07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>
        <v>27132.6</v>
      </c>
      <c r="I318" s="18"/>
      <c r="J318" s="18"/>
      <c r="K318" s="18"/>
      <c r="L318" s="19">
        <f t="shared" ref="L318:L324" si="16">SUM(F318:K318)</f>
        <v>27132.6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4228.67</v>
      </c>
      <c r="G319" s="18"/>
      <c r="H319" s="18">
        <v>22510.1</v>
      </c>
      <c r="I319" s="18">
        <v>1385.43</v>
      </c>
      <c r="J319" s="18"/>
      <c r="K319" s="18"/>
      <c r="L319" s="19">
        <f t="shared" si="16"/>
        <v>28124.199999999997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>
        <v>765.1</v>
      </c>
      <c r="L320" s="19">
        <f t="shared" si="16"/>
        <v>765.1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5202</v>
      </c>
      <c r="I324" s="18"/>
      <c r="J324" s="18"/>
      <c r="K324" s="18"/>
      <c r="L324" s="19">
        <f t="shared" si="16"/>
        <v>5202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46702.34</v>
      </c>
      <c r="G327" s="42">
        <f t="shared" si="17"/>
        <v>7958.25</v>
      </c>
      <c r="H327" s="42">
        <f t="shared" si="17"/>
        <v>54844.7</v>
      </c>
      <c r="I327" s="42">
        <f t="shared" si="17"/>
        <v>2659.3599999999997</v>
      </c>
      <c r="J327" s="42">
        <f t="shared" si="17"/>
        <v>866.65</v>
      </c>
      <c r="K327" s="42">
        <f t="shared" si="17"/>
        <v>765.1</v>
      </c>
      <c r="L327" s="41">
        <f t="shared" si="17"/>
        <v>113796.40000000001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261408.11000000002</v>
      </c>
      <c r="G337" s="41">
        <f t="shared" si="20"/>
        <v>23874.77</v>
      </c>
      <c r="H337" s="41">
        <f t="shared" si="20"/>
        <v>128800.89</v>
      </c>
      <c r="I337" s="41">
        <f t="shared" si="20"/>
        <v>12188.21</v>
      </c>
      <c r="J337" s="41">
        <f t="shared" si="20"/>
        <v>2599.9499999999998</v>
      </c>
      <c r="K337" s="41">
        <f t="shared" si="20"/>
        <v>1132.05</v>
      </c>
      <c r="L337" s="41">
        <f t="shared" si="20"/>
        <v>430003.98000000004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261408.11000000002</v>
      </c>
      <c r="G351" s="41">
        <f>G337</f>
        <v>23874.77</v>
      </c>
      <c r="H351" s="41">
        <f>H337</f>
        <v>128800.89</v>
      </c>
      <c r="I351" s="41">
        <f>I337</f>
        <v>12188.21</v>
      </c>
      <c r="J351" s="41">
        <f>J337</f>
        <v>2599.9499999999998</v>
      </c>
      <c r="K351" s="47">
        <f>K337+K350</f>
        <v>1132.05</v>
      </c>
      <c r="L351" s="41">
        <f>L337+L350</f>
        <v>430003.98000000004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69702.710000000006</v>
      </c>
      <c r="G357" s="18"/>
      <c r="H357" s="18">
        <v>797.64</v>
      </c>
      <c r="I357" s="18">
        <v>40541.19</v>
      </c>
      <c r="J357" s="18"/>
      <c r="K357" s="18"/>
      <c r="L357" s="13">
        <f>SUM(F357:K357)</f>
        <v>111041.54000000001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66369.5</v>
      </c>
      <c r="G358" s="18"/>
      <c r="H358" s="18">
        <v>683.34</v>
      </c>
      <c r="I358" s="18">
        <v>68925.070000000007</v>
      </c>
      <c r="J358" s="18"/>
      <c r="K358" s="18"/>
      <c r="L358" s="19">
        <f>SUM(F358:K358)</f>
        <v>135977.91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91624.79</v>
      </c>
      <c r="G359" s="18"/>
      <c r="H359" s="18">
        <v>943.66</v>
      </c>
      <c r="I359" s="18">
        <v>68925.070000000007</v>
      </c>
      <c r="J359" s="18"/>
      <c r="K359" s="18"/>
      <c r="L359" s="19">
        <f>SUM(F359:K359)</f>
        <v>161493.52000000002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227697</v>
      </c>
      <c r="G361" s="47">
        <f t="shared" si="22"/>
        <v>0</v>
      </c>
      <c r="H361" s="47">
        <f t="shared" si="22"/>
        <v>2424.64</v>
      </c>
      <c r="I361" s="47">
        <f t="shared" si="22"/>
        <v>178391.33000000002</v>
      </c>
      <c r="J361" s="47">
        <f t="shared" si="22"/>
        <v>0</v>
      </c>
      <c r="K361" s="47">
        <f t="shared" si="22"/>
        <v>0</v>
      </c>
      <c r="L361" s="47">
        <f t="shared" si="22"/>
        <v>408512.97000000003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36461.68</v>
      </c>
      <c r="G366" s="18">
        <v>51451.42</v>
      </c>
      <c r="H366" s="18">
        <v>71051.960000000006</v>
      </c>
      <c r="I366" s="56">
        <f>SUM(F366:H366)</f>
        <v>158965.06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4937.34</v>
      </c>
      <c r="G367" s="63">
        <v>6267.44</v>
      </c>
      <c r="H367" s="63">
        <v>8221.49</v>
      </c>
      <c r="I367" s="56">
        <f>SUM(F367:H367)</f>
        <v>19426.269999999997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41399.020000000004</v>
      </c>
      <c r="G368" s="47">
        <f>SUM(G366:G367)</f>
        <v>57718.86</v>
      </c>
      <c r="H368" s="47">
        <f>SUM(H366:H367)</f>
        <v>79273.450000000012</v>
      </c>
      <c r="I368" s="47">
        <f>SUM(I366:I367)</f>
        <v>178391.33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69.63</v>
      </c>
      <c r="I391" s="18">
        <v>350.21</v>
      </c>
      <c r="J391" s="24" t="s">
        <v>289</v>
      </c>
      <c r="K391" s="24" t="s">
        <v>289</v>
      </c>
      <c r="L391" s="56">
        <f t="shared" si="25"/>
        <v>419.84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69.63</v>
      </c>
      <c r="I392" s="65">
        <f>SUM(I386:I391)</f>
        <v>350.21</v>
      </c>
      <c r="J392" s="45" t="s">
        <v>289</v>
      </c>
      <c r="K392" s="45" t="s">
        <v>289</v>
      </c>
      <c r="L392" s="47">
        <f>SUM(L386:L391)</f>
        <v>419.84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337.24</v>
      </c>
      <c r="I396" s="18"/>
      <c r="J396" s="24" t="s">
        <v>289</v>
      </c>
      <c r="K396" s="24" t="s">
        <v>289</v>
      </c>
      <c r="L396" s="56">
        <f t="shared" si="26"/>
        <v>337.24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337.24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337.24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406.87</v>
      </c>
      <c r="I407" s="47">
        <f>I392+I400+I406</f>
        <v>350.21</v>
      </c>
      <c r="J407" s="24" t="s">
        <v>289</v>
      </c>
      <c r="K407" s="24" t="s">
        <v>289</v>
      </c>
      <c r="L407" s="47">
        <f>L392+L400+L406</f>
        <v>757.07999999999993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>
        <v>50000</v>
      </c>
      <c r="L414" s="56">
        <f t="shared" si="27"/>
        <v>50000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50000</v>
      </c>
      <c r="L418" s="47">
        <f t="shared" si="28"/>
        <v>50000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50000</v>
      </c>
      <c r="L433" s="47">
        <f t="shared" si="32"/>
        <v>50000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2287.39</v>
      </c>
      <c r="G441" s="18">
        <v>182795.4</v>
      </c>
      <c r="H441" s="18"/>
      <c r="I441" s="56">
        <f t="shared" si="33"/>
        <v>185082.79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2287.39</v>
      </c>
      <c r="G445" s="13">
        <f>SUM(G438:G444)</f>
        <v>182795.4</v>
      </c>
      <c r="H445" s="13">
        <f>SUM(H438:H444)</f>
        <v>0</v>
      </c>
      <c r="I445" s="13">
        <f>SUM(I438:I444)</f>
        <v>185082.79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2287.39</v>
      </c>
      <c r="G455" s="18">
        <v>182795.4</v>
      </c>
      <c r="H455" s="18"/>
      <c r="I455" s="56">
        <f t="shared" si="34"/>
        <v>185082.79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2287.39</v>
      </c>
      <c r="G459" s="83">
        <f>SUM(G453:G458)</f>
        <v>182795.4</v>
      </c>
      <c r="H459" s="83">
        <f>SUM(H453:H458)</f>
        <v>0</v>
      </c>
      <c r="I459" s="83">
        <f>SUM(I453:I458)</f>
        <v>185082.79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2287.39</v>
      </c>
      <c r="G460" s="42">
        <f>G451+G459</f>
        <v>182795.4</v>
      </c>
      <c r="H460" s="42">
        <f>H451+H459</f>
        <v>0</v>
      </c>
      <c r="I460" s="42">
        <f>I451+I459</f>
        <v>185082.79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654738.01</v>
      </c>
      <c r="G464" s="18">
        <v>68065.34</v>
      </c>
      <c r="H464" s="18">
        <v>0</v>
      </c>
      <c r="I464" s="18"/>
      <c r="J464" s="18">
        <v>234325.71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22535027.079999998</v>
      </c>
      <c r="G467" s="18">
        <v>441287.17</v>
      </c>
      <c r="H467" s="18">
        <v>430003.98</v>
      </c>
      <c r="I467" s="18"/>
      <c r="J467" s="18">
        <v>757.08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22535027.079999998</v>
      </c>
      <c r="G469" s="53">
        <f>SUM(G467:G468)</f>
        <v>441287.17</v>
      </c>
      <c r="H469" s="53">
        <f>SUM(H467:H468)</f>
        <v>430003.98</v>
      </c>
      <c r="I469" s="53">
        <f>SUM(I467:I468)</f>
        <v>0</v>
      </c>
      <c r="J469" s="53">
        <f>SUM(J467:J468)</f>
        <v>757.08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22112099.920000002</v>
      </c>
      <c r="G471" s="18">
        <v>408512.97</v>
      </c>
      <c r="H471" s="18">
        <v>430003.98</v>
      </c>
      <c r="I471" s="18"/>
      <c r="J471" s="18">
        <v>50000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22112099.920000002</v>
      </c>
      <c r="G473" s="53">
        <f>SUM(G471:G472)</f>
        <v>408512.97</v>
      </c>
      <c r="H473" s="53">
        <f>SUM(H471:H472)</f>
        <v>430003.98</v>
      </c>
      <c r="I473" s="53">
        <f>SUM(I471:I472)</f>
        <v>0</v>
      </c>
      <c r="J473" s="53">
        <f>SUM(J471:J472)</f>
        <v>50000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1077665.1699999981</v>
      </c>
      <c r="G475" s="53">
        <f>(G464+G469)- G473</f>
        <v>100839.54000000004</v>
      </c>
      <c r="H475" s="53">
        <f>(H464+H469)- H473</f>
        <v>0</v>
      </c>
      <c r="I475" s="53">
        <f>(I464+I469)- I473</f>
        <v>0</v>
      </c>
      <c r="J475" s="53">
        <f>(J464+J469)- J473</f>
        <v>185082.78999999998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16997033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4.45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10195000</v>
      </c>
      <c r="G494" s="18"/>
      <c r="H494" s="18"/>
      <c r="I494" s="18"/>
      <c r="J494" s="18"/>
      <c r="K494" s="53">
        <f>SUM(F494:J494)</f>
        <v>10195000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850000</v>
      </c>
      <c r="G496" s="18"/>
      <c r="H496" s="18"/>
      <c r="I496" s="18"/>
      <c r="J496" s="18"/>
      <c r="K496" s="53">
        <f t="shared" si="35"/>
        <v>850000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9345000</v>
      </c>
      <c r="G497" s="205"/>
      <c r="H497" s="205"/>
      <c r="I497" s="205"/>
      <c r="J497" s="205"/>
      <c r="K497" s="206">
        <f t="shared" si="35"/>
        <v>9345000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2252828.5</v>
      </c>
      <c r="G498" s="18"/>
      <c r="H498" s="18"/>
      <c r="I498" s="18"/>
      <c r="J498" s="18"/>
      <c r="K498" s="53">
        <f t="shared" si="35"/>
        <v>2252828.5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11597828.5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11597828.5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1035766.5</v>
      </c>
      <c r="G500" s="205"/>
      <c r="H500" s="205"/>
      <c r="I500" s="205"/>
      <c r="J500" s="205"/>
      <c r="K500" s="206">
        <f t="shared" si="35"/>
        <v>1035766.5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196012.5</v>
      </c>
      <c r="G501" s="18"/>
      <c r="H501" s="18"/>
      <c r="I501" s="18"/>
      <c r="J501" s="18"/>
      <c r="K501" s="53">
        <f t="shared" si="35"/>
        <v>196012.5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1231779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1231779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654218.52</v>
      </c>
      <c r="G520" s="18">
        <v>581031.81999999995</v>
      </c>
      <c r="H520" s="18">
        <v>292121.77</v>
      </c>
      <c r="I520" s="18">
        <v>1928.91</v>
      </c>
      <c r="J520" s="18">
        <v>4953.87</v>
      </c>
      <c r="K520" s="18"/>
      <c r="L520" s="88">
        <f>SUM(F520:K520)</f>
        <v>1534254.89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603961.53</v>
      </c>
      <c r="G521" s="18">
        <v>462358.49</v>
      </c>
      <c r="H521" s="18">
        <v>236294.61</v>
      </c>
      <c r="I521" s="18">
        <v>1315.37</v>
      </c>
      <c r="J521" s="18">
        <v>3441.65</v>
      </c>
      <c r="K521" s="18"/>
      <c r="L521" s="88">
        <f>SUM(F521:K521)</f>
        <v>1307371.6499999999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442678.05</v>
      </c>
      <c r="G522" s="18">
        <v>332533.25</v>
      </c>
      <c r="H522" s="18">
        <v>261995.58</v>
      </c>
      <c r="I522" s="18">
        <v>1702.51</v>
      </c>
      <c r="J522" s="18">
        <v>1436.65</v>
      </c>
      <c r="K522" s="18"/>
      <c r="L522" s="88">
        <f>SUM(F522:K522)</f>
        <v>1040346.04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1700858.1</v>
      </c>
      <c r="G523" s="108">
        <f t="shared" ref="G523:L523" si="36">SUM(G520:G522)</f>
        <v>1375923.56</v>
      </c>
      <c r="H523" s="108">
        <f t="shared" si="36"/>
        <v>790411.96</v>
      </c>
      <c r="I523" s="108">
        <f t="shared" si="36"/>
        <v>4946.79</v>
      </c>
      <c r="J523" s="108">
        <f t="shared" si="36"/>
        <v>9832.17</v>
      </c>
      <c r="K523" s="108">
        <f t="shared" si="36"/>
        <v>0</v>
      </c>
      <c r="L523" s="89">
        <f t="shared" si="36"/>
        <v>3881972.58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146008.62</v>
      </c>
      <c r="I525" s="18">
        <v>752.49</v>
      </c>
      <c r="J525" s="18"/>
      <c r="K525" s="18"/>
      <c r="L525" s="88">
        <f>SUM(F525:K525)</f>
        <v>146761.10999999999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>
        <v>68939.63</v>
      </c>
      <c r="I526" s="18">
        <v>186.74</v>
      </c>
      <c r="J526" s="18"/>
      <c r="K526" s="18"/>
      <c r="L526" s="88">
        <f>SUM(F526:K526)</f>
        <v>69126.37000000001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41567.5</v>
      </c>
      <c r="I527" s="18">
        <v>158.88999999999999</v>
      </c>
      <c r="J527" s="18"/>
      <c r="K527" s="18"/>
      <c r="L527" s="88">
        <f>SUM(F527:K527)</f>
        <v>41726.39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256515.75</v>
      </c>
      <c r="I528" s="89">
        <f t="shared" si="37"/>
        <v>1098.1199999999999</v>
      </c>
      <c r="J528" s="89">
        <f t="shared" si="37"/>
        <v>0</v>
      </c>
      <c r="K528" s="89">
        <f t="shared" si="37"/>
        <v>0</v>
      </c>
      <c r="L528" s="89">
        <f t="shared" si="37"/>
        <v>257613.87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41552.400000000001</v>
      </c>
      <c r="G530" s="18">
        <v>13475.66</v>
      </c>
      <c r="H530" s="18"/>
      <c r="I530" s="18"/>
      <c r="J530" s="18"/>
      <c r="K530" s="18"/>
      <c r="L530" s="88">
        <f>SUM(F530:K530)</f>
        <v>55028.06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37397.160000000003</v>
      </c>
      <c r="G531" s="18">
        <v>12128.1</v>
      </c>
      <c r="H531" s="18"/>
      <c r="I531" s="18"/>
      <c r="J531" s="18"/>
      <c r="K531" s="18"/>
      <c r="L531" s="88">
        <f>SUM(F531:K531)</f>
        <v>49525.26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59558.44</v>
      </c>
      <c r="G532" s="18">
        <v>19315.099999999999</v>
      </c>
      <c r="H532" s="18"/>
      <c r="I532" s="18"/>
      <c r="J532" s="18"/>
      <c r="K532" s="18"/>
      <c r="L532" s="88">
        <f>SUM(F532:K532)</f>
        <v>78873.540000000008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138508</v>
      </c>
      <c r="G533" s="89">
        <f t="shared" ref="G533:L533" si="38">SUM(G530:G532)</f>
        <v>44918.86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183426.86000000002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524.15</v>
      </c>
      <c r="I535" s="18"/>
      <c r="J535" s="18"/>
      <c r="K535" s="18"/>
      <c r="L535" s="88">
        <f>SUM(F535:K535)</f>
        <v>524.15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524.15</v>
      </c>
      <c r="I536" s="18"/>
      <c r="J536" s="18"/>
      <c r="K536" s="18"/>
      <c r="L536" s="88">
        <f>SUM(F536:K536)</f>
        <v>524.15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524.14</v>
      </c>
      <c r="I537" s="18"/>
      <c r="J537" s="18"/>
      <c r="K537" s="18"/>
      <c r="L537" s="88">
        <f>SUM(F537:K537)</f>
        <v>524.14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1572.44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1572.44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38384.839999999997</v>
      </c>
      <c r="I540" s="18"/>
      <c r="J540" s="18"/>
      <c r="K540" s="18"/>
      <c r="L540" s="88">
        <f>SUM(F540:K540)</f>
        <v>38384.839999999997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43769.63</v>
      </c>
      <c r="I541" s="18"/>
      <c r="J541" s="18"/>
      <c r="K541" s="18"/>
      <c r="L541" s="88">
        <f>SUM(F541:K541)</f>
        <v>43769.63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43206.42</v>
      </c>
      <c r="I542" s="18"/>
      <c r="J542" s="18"/>
      <c r="K542" s="18"/>
      <c r="L542" s="88">
        <f>SUM(F542:K542)</f>
        <v>43206.42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125360.89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125360.89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1839366.1</v>
      </c>
      <c r="G544" s="89">
        <f t="shared" ref="G544:L544" si="41">G523+G528+G533+G538+G543</f>
        <v>1420842.4200000002</v>
      </c>
      <c r="H544" s="89">
        <f t="shared" si="41"/>
        <v>1173861.0399999998</v>
      </c>
      <c r="I544" s="89">
        <f t="shared" si="41"/>
        <v>6044.91</v>
      </c>
      <c r="J544" s="89">
        <f t="shared" si="41"/>
        <v>9832.17</v>
      </c>
      <c r="K544" s="89">
        <f t="shared" si="41"/>
        <v>0</v>
      </c>
      <c r="L544" s="89">
        <f t="shared" si="41"/>
        <v>4449946.6400000006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1534254.89</v>
      </c>
      <c r="G548" s="87">
        <f>L525</f>
        <v>146761.10999999999</v>
      </c>
      <c r="H548" s="87">
        <f>L530</f>
        <v>55028.06</v>
      </c>
      <c r="I548" s="87">
        <f>L535</f>
        <v>524.15</v>
      </c>
      <c r="J548" s="87">
        <f>L540</f>
        <v>38384.839999999997</v>
      </c>
      <c r="K548" s="87">
        <f>SUM(F548:J548)</f>
        <v>1774953.05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1307371.6499999999</v>
      </c>
      <c r="G549" s="87">
        <f>L526</f>
        <v>69126.37000000001</v>
      </c>
      <c r="H549" s="87">
        <f>L531</f>
        <v>49525.26</v>
      </c>
      <c r="I549" s="87">
        <f>L536</f>
        <v>524.15</v>
      </c>
      <c r="J549" s="87">
        <f>L541</f>
        <v>43769.63</v>
      </c>
      <c r="K549" s="87">
        <f>SUM(F549:J549)</f>
        <v>1470317.0599999998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1040346.04</v>
      </c>
      <c r="G550" s="87">
        <f>L527</f>
        <v>41726.39</v>
      </c>
      <c r="H550" s="87">
        <f>L532</f>
        <v>78873.540000000008</v>
      </c>
      <c r="I550" s="87">
        <f>L537</f>
        <v>524.14</v>
      </c>
      <c r="J550" s="87">
        <f>L542</f>
        <v>43206.42</v>
      </c>
      <c r="K550" s="87">
        <f>SUM(F550:J550)</f>
        <v>1204676.5299999998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3881972.58</v>
      </c>
      <c r="G551" s="89">
        <f t="shared" si="42"/>
        <v>257613.87</v>
      </c>
      <c r="H551" s="89">
        <f t="shared" si="42"/>
        <v>183426.86000000002</v>
      </c>
      <c r="I551" s="89">
        <f t="shared" si="42"/>
        <v>1572.44</v>
      </c>
      <c r="J551" s="89">
        <f t="shared" si="42"/>
        <v>125360.89</v>
      </c>
      <c r="K551" s="89">
        <f t="shared" si="42"/>
        <v>4449946.6399999997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28824.03</v>
      </c>
      <c r="G582" s="18">
        <v>66291</v>
      </c>
      <c r="H582" s="18">
        <v>130010.94</v>
      </c>
      <c r="I582" s="87">
        <f t="shared" si="47"/>
        <v>225125.97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220578.55</v>
      </c>
      <c r="I583" s="87">
        <f t="shared" si="47"/>
        <v>220578.55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96708.68</v>
      </c>
      <c r="I590" s="18">
        <v>98187.16</v>
      </c>
      <c r="J590" s="18">
        <v>130167.67</v>
      </c>
      <c r="K590" s="104">
        <f t="shared" ref="K590:K596" si="48">SUM(H590:J590)</f>
        <v>325063.51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38384.839999999997</v>
      </c>
      <c r="I591" s="18">
        <v>43769.63</v>
      </c>
      <c r="J591" s="18">
        <v>43206.42</v>
      </c>
      <c r="K591" s="104">
        <f t="shared" si="48"/>
        <v>125360.89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5262.89</v>
      </c>
      <c r="K592" s="104">
        <f t="shared" si="48"/>
        <v>5262.89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15418.42</v>
      </c>
      <c r="J593" s="18">
        <v>47118.27</v>
      </c>
      <c r="K593" s="104">
        <f t="shared" si="48"/>
        <v>62536.689999999995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8250</v>
      </c>
      <c r="I594" s="18">
        <v>19221</v>
      </c>
      <c r="J594" s="18">
        <v>6212</v>
      </c>
      <c r="K594" s="104">
        <f t="shared" si="48"/>
        <v>33683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>
        <v>2018</v>
      </c>
      <c r="K596" s="104">
        <f t="shared" si="48"/>
        <v>2018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143343.51999999999</v>
      </c>
      <c r="I597" s="108">
        <f>SUM(I590:I596)</f>
        <v>176596.21000000002</v>
      </c>
      <c r="J597" s="108">
        <f>SUM(J590:J596)</f>
        <v>233985.25</v>
      </c>
      <c r="K597" s="108">
        <f>SUM(K590:K596)</f>
        <v>553924.98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29650.5</v>
      </c>
      <c r="I603" s="18">
        <v>44325.83</v>
      </c>
      <c r="J603" s="18">
        <v>91172.91</v>
      </c>
      <c r="K603" s="104">
        <f>SUM(H603:J603)</f>
        <v>165149.24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29650.5</v>
      </c>
      <c r="I604" s="108">
        <f>SUM(I601:I603)</f>
        <v>44325.83</v>
      </c>
      <c r="J604" s="108">
        <f>SUM(J601:J603)</f>
        <v>91172.91</v>
      </c>
      <c r="K604" s="108">
        <f>SUM(K601:K603)</f>
        <v>165149.24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62205.03</v>
      </c>
      <c r="G610" s="18">
        <v>11818.96</v>
      </c>
      <c r="H610" s="18"/>
      <c r="I610" s="18">
        <v>12371.57</v>
      </c>
      <c r="J610" s="18"/>
      <c r="K610" s="18"/>
      <c r="L610" s="88">
        <f>SUM(F610:K610)</f>
        <v>86395.56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24410</v>
      </c>
      <c r="G611" s="18">
        <v>4637.8999999999996</v>
      </c>
      <c r="H611" s="18"/>
      <c r="I611" s="18"/>
      <c r="J611" s="18"/>
      <c r="K611" s="18"/>
      <c r="L611" s="88">
        <f>SUM(F611:K611)</f>
        <v>29047.9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37377.5</v>
      </c>
      <c r="G612" s="18">
        <v>7101.73</v>
      </c>
      <c r="H612" s="18"/>
      <c r="I612" s="18"/>
      <c r="J612" s="18"/>
      <c r="K612" s="18"/>
      <c r="L612" s="88">
        <f>SUM(F612:K612)</f>
        <v>44479.229999999996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123992.53</v>
      </c>
      <c r="G613" s="108">
        <f t="shared" si="49"/>
        <v>23558.59</v>
      </c>
      <c r="H613" s="108">
        <f t="shared" si="49"/>
        <v>0</v>
      </c>
      <c r="I613" s="108">
        <f t="shared" si="49"/>
        <v>12371.57</v>
      </c>
      <c r="J613" s="108">
        <f t="shared" si="49"/>
        <v>0</v>
      </c>
      <c r="K613" s="108">
        <f t="shared" si="49"/>
        <v>0</v>
      </c>
      <c r="L613" s="89">
        <f t="shared" si="49"/>
        <v>159922.69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2227607.41</v>
      </c>
      <c r="H616" s="109">
        <f>SUM(F51)</f>
        <v>2227607.41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109149.92</v>
      </c>
      <c r="H617" s="109">
        <f>SUM(G51)</f>
        <v>109149.92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12388.24</v>
      </c>
      <c r="H618" s="109">
        <f>SUM(H51)</f>
        <v>12388.24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185082.79</v>
      </c>
      <c r="H620" s="109">
        <f>SUM(J51)</f>
        <v>185082.79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1077665.17</v>
      </c>
      <c r="H621" s="109">
        <f>F475</f>
        <v>1077665.1699999981</v>
      </c>
      <c r="I621" s="121" t="s">
        <v>101</v>
      </c>
      <c r="J621" s="109">
        <f t="shared" ref="J621:J654" si="50">G621-H621</f>
        <v>1.862645149230957E-9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100839.54</v>
      </c>
      <c r="H622" s="109">
        <f>G475</f>
        <v>100839.54000000004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185082.79</v>
      </c>
      <c r="H625" s="109">
        <f>J475</f>
        <v>185082.78999999998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22535027.080000002</v>
      </c>
      <c r="H626" s="104">
        <f>SUM(F467)</f>
        <v>22535027.079999998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441287.17000000004</v>
      </c>
      <c r="H627" s="104">
        <f>SUM(G467)</f>
        <v>441287.17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430003.98</v>
      </c>
      <c r="H628" s="104">
        <f>SUM(H467)</f>
        <v>430003.98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757.07999999999993</v>
      </c>
      <c r="H630" s="104">
        <f>SUM(J467)</f>
        <v>757.08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22112099.919999998</v>
      </c>
      <c r="H631" s="104">
        <f>SUM(F471)</f>
        <v>22112099.920000002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430003.98000000004</v>
      </c>
      <c r="H632" s="104">
        <f>SUM(H471)</f>
        <v>430003.98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178391.33000000002</v>
      </c>
      <c r="H633" s="104">
        <f>I368</f>
        <v>178391.33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408512.97000000003</v>
      </c>
      <c r="H634" s="104">
        <f>SUM(G471)</f>
        <v>408512.97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757.07999999999993</v>
      </c>
      <c r="H636" s="164">
        <f>SUM(J467)</f>
        <v>757.08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50000</v>
      </c>
      <c r="H637" s="164">
        <f>SUM(J471)</f>
        <v>50000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2287.39</v>
      </c>
      <c r="H638" s="104">
        <f>SUM(F460)</f>
        <v>2287.39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182795.4</v>
      </c>
      <c r="H639" s="104">
        <f>SUM(G460)</f>
        <v>182795.4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185082.79</v>
      </c>
      <c r="H641" s="104">
        <f>SUM(I460)</f>
        <v>185082.79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406.87</v>
      </c>
      <c r="H643" s="104">
        <f>H407</f>
        <v>406.87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757.07999999999993</v>
      </c>
      <c r="H645" s="104">
        <f>L407</f>
        <v>757.07999999999993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553924.98</v>
      </c>
      <c r="H646" s="104">
        <f>L207+L225+L243</f>
        <v>553924.98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165149.24</v>
      </c>
      <c r="H647" s="104">
        <f>(J256+J337)-(J254+J335)</f>
        <v>165149.24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143343.51999999999</v>
      </c>
      <c r="H648" s="104">
        <f>H597</f>
        <v>143343.51999999999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176596.21</v>
      </c>
      <c r="H649" s="104">
        <f>I597</f>
        <v>176596.21000000002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233985.25</v>
      </c>
      <c r="H650" s="104">
        <f>J597</f>
        <v>233985.25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6625945.2099999981</v>
      </c>
      <c r="G659" s="19">
        <f>(L228+L308+L358)</f>
        <v>6191755.7600000016</v>
      </c>
      <c r="H659" s="19">
        <f>(L246+L327+L359)</f>
        <v>8867136.8999999985</v>
      </c>
      <c r="I659" s="19">
        <f>SUM(F659:H659)</f>
        <v>21684837.869999997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82143.463172895106</v>
      </c>
      <c r="G660" s="19">
        <f>(L358/IF(SUM(L357:L359)=0,1,SUM(L357:L359))*(SUM(G96:G109)))</f>
        <v>100590.25156182311</v>
      </c>
      <c r="H660" s="19">
        <f>(L359/IF(SUM(L357:L359)=0,1,SUM(L357:L359))*(SUM(G96:G109)))</f>
        <v>119465.53526528178</v>
      </c>
      <c r="I660" s="19">
        <f>SUM(F660:H660)</f>
        <v>302199.25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143343.51999999999</v>
      </c>
      <c r="G661" s="19">
        <f>(L225+L305)-(J225+J305)</f>
        <v>176596.21</v>
      </c>
      <c r="H661" s="19">
        <f>(L243+L324)-(J243+J324)</f>
        <v>239187.25</v>
      </c>
      <c r="I661" s="19">
        <f>SUM(F661:H661)</f>
        <v>559126.98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144870.09</v>
      </c>
      <c r="G662" s="200">
        <f>SUM(G574:G586)+SUM(I601:I603)+L611</f>
        <v>139664.73000000001</v>
      </c>
      <c r="H662" s="200">
        <f>SUM(H574:H586)+SUM(J601:J603)+L612</f>
        <v>486241.63</v>
      </c>
      <c r="I662" s="19">
        <f>SUM(F662:H662)</f>
        <v>770776.45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6255588.1368271029</v>
      </c>
      <c r="G663" s="19">
        <f>G659-SUM(G660:G662)</f>
        <v>5774904.5684381789</v>
      </c>
      <c r="H663" s="19">
        <f>H659-SUM(H660:H662)</f>
        <v>8022242.4847347168</v>
      </c>
      <c r="I663" s="19">
        <f>I659-SUM(I660:I662)</f>
        <v>20052735.189999998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374.43</v>
      </c>
      <c r="G664" s="249">
        <v>338.13</v>
      </c>
      <c r="H664" s="249">
        <v>529.77</v>
      </c>
      <c r="I664" s="19">
        <f>SUM(F664:H664)</f>
        <v>1242.33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16706.96</v>
      </c>
      <c r="G666" s="19">
        <f>ROUND(G663/G664,2)</f>
        <v>17078.95</v>
      </c>
      <c r="H666" s="19">
        <f>ROUND(H663/H664,2)</f>
        <v>15142.88</v>
      </c>
      <c r="I666" s="19">
        <f>ROUND(I663/I664,2)</f>
        <v>16141.23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-25.13</v>
      </c>
      <c r="I669" s="19">
        <f>SUM(F669:H669)</f>
        <v>-25.13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16706.96</v>
      </c>
      <c r="G671" s="19">
        <f>ROUND((G663+G668)/(G664+G669),2)</f>
        <v>17078.95</v>
      </c>
      <c r="H671" s="19">
        <f>ROUND((H663+H668)/(H664+H669),2)</f>
        <v>15896.96</v>
      </c>
      <c r="I671" s="19">
        <f>ROUND((I663+I668)/(I664+I669),2)</f>
        <v>16474.48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6" workbookViewId="0">
      <selection activeCell="B40" sqref="B40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Gilford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6066315.5399999991</v>
      </c>
      <c r="C9" s="230">
        <f>'DOE25'!G196+'DOE25'!G214+'DOE25'!G232+'DOE25'!G275+'DOE25'!G294+'DOE25'!G313</f>
        <v>3008468.99</v>
      </c>
    </row>
    <row r="10" spans="1:3">
      <c r="A10" t="s">
        <v>779</v>
      </c>
      <c r="B10" s="241">
        <v>5787011.4299999997</v>
      </c>
      <c r="C10" s="241">
        <v>2758782.03</v>
      </c>
    </row>
    <row r="11" spans="1:3">
      <c r="A11" t="s">
        <v>780</v>
      </c>
      <c r="B11" s="241">
        <v>279304.11</v>
      </c>
      <c r="C11" s="241">
        <v>249686.96</v>
      </c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6066315.54</v>
      </c>
      <c r="C13" s="232">
        <f>SUM(C10:C12)</f>
        <v>3008468.9899999998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1700858.0999999996</v>
      </c>
      <c r="C18" s="230">
        <f>'DOE25'!G197+'DOE25'!G215+'DOE25'!G233+'DOE25'!G276+'DOE25'!G295+'DOE25'!G314</f>
        <v>1375923.56</v>
      </c>
    </row>
    <row r="19" spans="1:3">
      <c r="A19" t="s">
        <v>779</v>
      </c>
      <c r="B19" s="241">
        <v>980197.98</v>
      </c>
      <c r="C19" s="241">
        <v>591502.39</v>
      </c>
    </row>
    <row r="20" spans="1:3">
      <c r="A20" t="s">
        <v>780</v>
      </c>
      <c r="B20" s="241">
        <v>720660.12</v>
      </c>
      <c r="C20" s="241">
        <v>784421.17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1700858.1</v>
      </c>
      <c r="C22" s="232">
        <f>SUM(C19:C21)</f>
        <v>1375923.56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269332.40000000002</v>
      </c>
      <c r="C36" s="236">
        <f>'DOE25'!G201+'DOE25'!G217+'DOE25'!G235+'DOE25'!G278+'DOE25'!G297+'DOE25'!G316</f>
        <v>125190.7</v>
      </c>
    </row>
    <row r="37" spans="1:3">
      <c r="A37" t="s">
        <v>779</v>
      </c>
      <c r="B37" s="241">
        <v>22946.47</v>
      </c>
      <c r="C37" s="241">
        <v>14226.82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>
        <v>246385.93</v>
      </c>
      <c r="C39" s="241">
        <v>110963.88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269332.40000000002</v>
      </c>
      <c r="C40" s="232">
        <f>SUM(C37:C39)</f>
        <v>125190.70000000001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C13" sqref="C13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Gilford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13767532.079999998</v>
      </c>
      <c r="D5" s="20">
        <f>SUM('DOE25'!L196:L199)+SUM('DOE25'!L214:L217)+SUM('DOE25'!L232:L235)-F5-G5</f>
        <v>13709181.949999999</v>
      </c>
      <c r="E5" s="244"/>
      <c r="F5" s="256">
        <f>SUM('DOE25'!J196:J199)+SUM('DOE25'!J214:J217)+SUM('DOE25'!J232:J235)</f>
        <v>57441.270000000004</v>
      </c>
      <c r="G5" s="53">
        <f>SUM('DOE25'!K196:K199)+SUM('DOE25'!K214:K217)+SUM('DOE25'!K232:K235)</f>
        <v>908.86</v>
      </c>
      <c r="H5" s="260"/>
    </row>
    <row r="6" spans="1:9">
      <c r="A6" s="32">
        <v>2100</v>
      </c>
      <c r="B6" t="s">
        <v>801</v>
      </c>
      <c r="C6" s="246">
        <f t="shared" si="0"/>
        <v>1073847.83</v>
      </c>
      <c r="D6" s="20">
        <f>'DOE25'!L201+'DOE25'!L219+'DOE25'!L237-F6-G6</f>
        <v>1073397.83</v>
      </c>
      <c r="E6" s="244"/>
      <c r="F6" s="256">
        <f>'DOE25'!J201+'DOE25'!J219+'DOE25'!J237</f>
        <v>450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914201.07999999984</v>
      </c>
      <c r="D7" s="20">
        <f>'DOE25'!L202+'DOE25'!L220+'DOE25'!L238-F7-G7</f>
        <v>815038.81999999983</v>
      </c>
      <c r="E7" s="244"/>
      <c r="F7" s="256">
        <f>'DOE25'!J202+'DOE25'!J220+'DOE25'!J238</f>
        <v>99162.260000000009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39417.399999999965</v>
      </c>
      <c r="D8" s="244"/>
      <c r="E8" s="20">
        <f>'DOE25'!L203+'DOE25'!L221+'DOE25'!L239-F8-G8-D9-D11</f>
        <v>26295.809999999969</v>
      </c>
      <c r="F8" s="256">
        <f>'DOE25'!J203+'DOE25'!J221+'DOE25'!J239</f>
        <v>0</v>
      </c>
      <c r="G8" s="53">
        <f>'DOE25'!K203+'DOE25'!K221+'DOE25'!K239</f>
        <v>13121.59</v>
      </c>
      <c r="H8" s="260"/>
    </row>
    <row r="9" spans="1:9">
      <c r="A9" s="32">
        <v>2310</v>
      </c>
      <c r="B9" t="s">
        <v>818</v>
      </c>
      <c r="C9" s="246">
        <f t="shared" si="0"/>
        <v>22583.41</v>
      </c>
      <c r="D9" s="245">
        <v>22583.41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18094.5</v>
      </c>
      <c r="D10" s="244"/>
      <c r="E10" s="245">
        <v>18094.5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214840</v>
      </c>
      <c r="D11" s="245">
        <v>214840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1385044.84</v>
      </c>
      <c r="D12" s="20">
        <f>'DOE25'!L204+'DOE25'!L222+'DOE25'!L240-F12-G12</f>
        <v>1365252.2000000002</v>
      </c>
      <c r="E12" s="244"/>
      <c r="F12" s="256">
        <f>'DOE25'!J204+'DOE25'!J222+'DOE25'!J240</f>
        <v>0</v>
      </c>
      <c r="G12" s="53">
        <f>'DOE25'!K204+'DOE25'!K222+'DOE25'!K240</f>
        <v>19792.64</v>
      </c>
      <c r="H12" s="260"/>
    </row>
    <row r="13" spans="1:9">
      <c r="A13" s="32">
        <v>2500</v>
      </c>
      <c r="B13" t="s">
        <v>803</v>
      </c>
      <c r="C13" s="246">
        <f t="shared" si="0"/>
        <v>335367.11</v>
      </c>
      <c r="D13" s="244"/>
      <c r="E13" s="20">
        <f>'DOE25'!L205+'DOE25'!L223+'DOE25'!L241-F13-G13</f>
        <v>332278.53999999998</v>
      </c>
      <c r="F13" s="256">
        <f>'DOE25'!J205+'DOE25'!J223+'DOE25'!J241</f>
        <v>0</v>
      </c>
      <c r="G13" s="53">
        <f>'DOE25'!K205+'DOE25'!K223+'DOE25'!K241</f>
        <v>3088.5699999999997</v>
      </c>
      <c r="H13" s="260"/>
    </row>
    <row r="14" spans="1:9">
      <c r="A14" s="32">
        <v>2600</v>
      </c>
      <c r="B14" t="s">
        <v>832</v>
      </c>
      <c r="C14" s="246">
        <f t="shared" si="0"/>
        <v>2539562.19</v>
      </c>
      <c r="D14" s="20">
        <f>'DOE25'!L206+'DOE25'!L224+'DOE25'!L242-F14-G14</f>
        <v>2534066.4300000002</v>
      </c>
      <c r="E14" s="244"/>
      <c r="F14" s="256">
        <f>'DOE25'!J206+'DOE25'!J224+'DOE25'!J242</f>
        <v>5495.76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553924.98</v>
      </c>
      <c r="D15" s="20">
        <f>'DOE25'!L207+'DOE25'!L225+'DOE25'!L243-F15-G15</f>
        <v>553924.98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1265779</v>
      </c>
      <c r="D25" s="244"/>
      <c r="E25" s="244"/>
      <c r="F25" s="259"/>
      <c r="G25" s="257"/>
      <c r="H25" s="258">
        <f>'DOE25'!L259+'DOE25'!L260+'DOE25'!L340+'DOE25'!L341</f>
        <v>1265779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249547.91000000003</v>
      </c>
      <c r="D29" s="20">
        <f>'DOE25'!L357+'DOE25'!L358+'DOE25'!L359-'DOE25'!I366-F29-G29</f>
        <v>249547.91000000003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430003.98000000004</v>
      </c>
      <c r="D31" s="20">
        <f>'DOE25'!L289+'DOE25'!L308+'DOE25'!L327+'DOE25'!L332+'DOE25'!L333+'DOE25'!L334-F31-G31</f>
        <v>426271.98000000004</v>
      </c>
      <c r="E31" s="244"/>
      <c r="F31" s="256">
        <f>'DOE25'!J289+'DOE25'!J308+'DOE25'!J327+'DOE25'!J332+'DOE25'!J333+'DOE25'!J334</f>
        <v>2599.9499999999998</v>
      </c>
      <c r="G31" s="53">
        <f>'DOE25'!K289+'DOE25'!K308+'DOE25'!K327+'DOE25'!K332+'DOE25'!K333+'DOE25'!K334</f>
        <v>1132.05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20964105.510000002</v>
      </c>
      <c r="E33" s="247">
        <f>SUM(E5:E31)</f>
        <v>376668.85</v>
      </c>
      <c r="F33" s="247">
        <f>SUM(F5:F31)</f>
        <v>165149.24000000005</v>
      </c>
      <c r="G33" s="247">
        <f>SUM(G5:G31)</f>
        <v>38043.71</v>
      </c>
      <c r="H33" s="247">
        <f>SUM(H5:H31)</f>
        <v>1265779</v>
      </c>
    </row>
    <row r="35" spans="2:8" ht="12" thickBot="1">
      <c r="B35" s="254" t="s">
        <v>847</v>
      </c>
      <c r="D35" s="255">
        <f>E33</f>
        <v>376668.85</v>
      </c>
      <c r="E35" s="250"/>
    </row>
    <row r="36" spans="2:8" ht="12" thickTop="1">
      <c r="B36" t="s">
        <v>815</v>
      </c>
      <c r="D36" s="20">
        <f>D33</f>
        <v>20964105.510000002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03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Gilford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937760.87</v>
      </c>
      <c r="D8" s="95">
        <f>'DOE25'!G9</f>
        <v>94210.58</v>
      </c>
      <c r="E8" s="95">
        <f>'DOE25'!H9</f>
        <v>12388.24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11282.81</v>
      </c>
      <c r="D12" s="95">
        <f>'DOE25'!G13</f>
        <v>7193.08</v>
      </c>
      <c r="E12" s="95">
        <f>'DOE25'!H13</f>
        <v>0</v>
      </c>
      <c r="F12" s="95">
        <f>'DOE25'!I13</f>
        <v>0</v>
      </c>
      <c r="G12" s="95">
        <f>'DOE25'!J13</f>
        <v>185082.79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1278563.73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7746.26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2227607.41</v>
      </c>
      <c r="D18" s="41">
        <f>SUM(D8:D17)</f>
        <v>109149.92</v>
      </c>
      <c r="E18" s="41">
        <f>SUM(E8:E17)</f>
        <v>12388.24</v>
      </c>
      <c r="F18" s="41">
        <f>SUM(F8:F17)</f>
        <v>0</v>
      </c>
      <c r="G18" s="41">
        <f>SUM(G8:G17)</f>
        <v>185082.79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93897.08</v>
      </c>
      <c r="D22" s="95">
        <f>'DOE25'!G23</f>
        <v>0</v>
      </c>
      <c r="E22" s="95">
        <f>'DOE25'!H23</f>
        <v>12388.24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944132.16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111913</v>
      </c>
      <c r="D29" s="95">
        <f>'DOE25'!G30</f>
        <v>8310.3799999999992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1149942.24</v>
      </c>
      <c r="D31" s="41">
        <f>SUM(D21:D30)</f>
        <v>8310.3799999999992</v>
      </c>
      <c r="E31" s="41">
        <f>SUM(E21:E30)</f>
        <v>12388.24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185082.79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252820.25</v>
      </c>
      <c r="D46" s="95">
        <f>'DOE25'!G47</f>
        <v>100839.54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824844.92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1077665.17</v>
      </c>
      <c r="D49" s="41">
        <f>SUM(D34:D48)</f>
        <v>100839.54</v>
      </c>
      <c r="E49" s="41">
        <f>SUM(E34:E48)</f>
        <v>0</v>
      </c>
      <c r="F49" s="41">
        <f>SUM(F34:F48)</f>
        <v>0</v>
      </c>
      <c r="G49" s="41">
        <f>SUM(G34:G48)</f>
        <v>185082.79</v>
      </c>
      <c r="H49" s="124"/>
      <c r="I49" s="124"/>
    </row>
    <row r="50" spans="1:9" ht="12" thickTop="1">
      <c r="A50" s="38" t="s">
        <v>895</v>
      </c>
      <c r="B50" s="2"/>
      <c r="C50" s="41">
        <f>C49+C31</f>
        <v>2227607.41</v>
      </c>
      <c r="D50" s="41">
        <f>D49+D31</f>
        <v>109149.92</v>
      </c>
      <c r="E50" s="41">
        <f>E49+E31</f>
        <v>12388.24</v>
      </c>
      <c r="F50" s="41">
        <f>F49+F31</f>
        <v>0</v>
      </c>
      <c r="G50" s="41">
        <f>G49+G31</f>
        <v>185082.79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14233054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2742317.2600000002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5262.89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3156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406.87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302199.25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272022.05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350.21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3022758.2</v>
      </c>
      <c r="D61" s="130">
        <f>SUM(D56:D60)</f>
        <v>302199.25</v>
      </c>
      <c r="E61" s="130">
        <f>SUM(E56:E60)</f>
        <v>0</v>
      </c>
      <c r="F61" s="130">
        <f>SUM(F56:F60)</f>
        <v>0</v>
      </c>
      <c r="G61" s="130">
        <f>SUM(G56:G60)</f>
        <v>757.07999999999993</v>
      </c>
      <c r="H61"/>
      <c r="I61"/>
    </row>
    <row r="62" spans="1:9" ht="12" thickTop="1">
      <c r="A62" s="29" t="s">
        <v>175</v>
      </c>
      <c r="B62" s="6"/>
      <c r="C62" s="22">
        <f>C55+C61</f>
        <v>17255812.199999999</v>
      </c>
      <c r="D62" s="22">
        <f>D55+D61</f>
        <v>302199.25</v>
      </c>
      <c r="E62" s="22">
        <f>E55+E61</f>
        <v>0</v>
      </c>
      <c r="F62" s="22">
        <f>F55+F61</f>
        <v>0</v>
      </c>
      <c r="G62" s="22">
        <f>G55+G61</f>
        <v>757.07999999999993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623577.71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4051042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'DOE25'!F145</f>
        <v>99353.3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4773973.01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314593.78999999998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80392.649999999994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5262.89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5287.63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400249.32999999996</v>
      </c>
      <c r="D77" s="130">
        <f>SUM(D71:D76)</f>
        <v>5287.63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5174222.34</v>
      </c>
      <c r="D80" s="130">
        <f>SUM(D78:D79)+D77+D69</f>
        <v>5287.63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99353.3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236115.74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54452.25</v>
      </c>
      <c r="D87" s="95">
        <f>SUM('DOE25'!G152:G160)</f>
        <v>133800.29</v>
      </c>
      <c r="E87" s="95">
        <f>SUM('DOE25'!H152:H160)</f>
        <v>193888.24000000002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153805.54999999999</v>
      </c>
      <c r="D90" s="131">
        <f>SUM(D84:D89)</f>
        <v>133800.29</v>
      </c>
      <c r="E90" s="131">
        <f>SUM(E84:E89)</f>
        <v>430003.98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50000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50000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22633840.09</v>
      </c>
      <c r="D103" s="86">
        <f>D62+D80+D90+D102</f>
        <v>441287.17000000004</v>
      </c>
      <c r="E103" s="86">
        <f>E62+E80+E90+E102</f>
        <v>430003.98</v>
      </c>
      <c r="F103" s="86">
        <f>F62+F80+F90+F102</f>
        <v>0</v>
      </c>
      <c r="G103" s="86">
        <f>G62+G80+G102</f>
        <v>757.07999999999993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9292575.370000001</v>
      </c>
      <c r="D108" s="24" t="s">
        <v>289</v>
      </c>
      <c r="E108" s="95">
        <f>('DOE25'!L275)+('DOE25'!L294)+('DOE25'!L313)</f>
        <v>129083.14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3724724.8200000003</v>
      </c>
      <c r="D109" s="24" t="s">
        <v>289</v>
      </c>
      <c r="E109" s="95">
        <f>('DOE25'!L276)+('DOE25'!L295)+('DOE25'!L314)</f>
        <v>157247.76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220578.55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529653.34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13767532.080000002</v>
      </c>
      <c r="D114" s="86">
        <f>SUM(D108:D113)</f>
        <v>0</v>
      </c>
      <c r="E114" s="86">
        <f>SUM(E108:E113)</f>
        <v>286330.90000000002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1073847.83</v>
      </c>
      <c r="D117" s="24" t="s">
        <v>289</v>
      </c>
      <c r="E117" s="95">
        <f>+('DOE25'!L280)+('DOE25'!L299)+('DOE25'!L318)</f>
        <v>81644.76999999999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914201.07999999984</v>
      </c>
      <c r="D118" s="24" t="s">
        <v>289</v>
      </c>
      <c r="E118" s="95">
        <f>+('DOE25'!L281)+('DOE25'!L300)+('DOE25'!L319)</f>
        <v>56061.209999999992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276840.81</v>
      </c>
      <c r="D119" s="24" t="s">
        <v>289</v>
      </c>
      <c r="E119" s="95">
        <f>+('DOE25'!L282)+('DOE25'!L301)+('DOE25'!L320)</f>
        <v>765.1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1385044.84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335367.11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2539562.19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553924.98</v>
      </c>
      <c r="D123" s="24" t="s">
        <v>289</v>
      </c>
      <c r="E123" s="95">
        <f>+('DOE25'!L286)+('DOE25'!L305)+('DOE25'!L324)</f>
        <v>5202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408512.97000000003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7078788.8399999999</v>
      </c>
      <c r="D127" s="86">
        <f>SUM(D117:D126)</f>
        <v>408512.97000000003</v>
      </c>
      <c r="E127" s="86">
        <f>SUM(E117:E126)</f>
        <v>143673.07999999999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850000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415779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50000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419.84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337.24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-757.07999999999993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1265779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50000</v>
      </c>
    </row>
    <row r="144" spans="1:7" ht="12.75" thickTop="1" thickBot="1">
      <c r="A144" s="33" t="s">
        <v>244</v>
      </c>
      <c r="C144" s="86">
        <f>(C114+C127+C143)</f>
        <v>22112099.920000002</v>
      </c>
      <c r="D144" s="86">
        <f>(D114+D127+D143)</f>
        <v>408512.97000000003</v>
      </c>
      <c r="E144" s="86">
        <f>(E114+E127+E143)</f>
        <v>430003.98</v>
      </c>
      <c r="F144" s="86">
        <f>(F114+F127+F143)</f>
        <v>0</v>
      </c>
      <c r="G144" s="86">
        <f>(G114+G127+G143)</f>
        <v>50000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08/02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08/22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16997033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4.45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10195000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10195000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850000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850000</v>
      </c>
    </row>
    <row r="158" spans="1:9">
      <c r="A158" s="22" t="s">
        <v>35</v>
      </c>
      <c r="B158" s="137">
        <f>'DOE25'!F497</f>
        <v>9345000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9345000</v>
      </c>
    </row>
    <row r="159" spans="1:9">
      <c r="A159" s="22" t="s">
        <v>36</v>
      </c>
      <c r="B159" s="137">
        <f>'DOE25'!F498</f>
        <v>2252828.5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2252828.5</v>
      </c>
    </row>
    <row r="160" spans="1:9">
      <c r="A160" s="22" t="s">
        <v>37</v>
      </c>
      <c r="B160" s="137">
        <f>'DOE25'!F499</f>
        <v>11597828.5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11597828.5</v>
      </c>
    </row>
    <row r="161" spans="1:7">
      <c r="A161" s="22" t="s">
        <v>38</v>
      </c>
      <c r="B161" s="137">
        <f>'DOE25'!F500</f>
        <v>1035766.5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1035766.5</v>
      </c>
    </row>
    <row r="162" spans="1:7">
      <c r="A162" s="22" t="s">
        <v>39</v>
      </c>
      <c r="B162" s="137">
        <f>'DOE25'!F501</f>
        <v>196012.5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196012.5</v>
      </c>
    </row>
    <row r="163" spans="1:7">
      <c r="A163" s="22" t="s">
        <v>246</v>
      </c>
      <c r="B163" s="137">
        <f>'DOE25'!F502</f>
        <v>1231779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1231779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4" workbookViewId="0">
      <selection activeCell="C11" sqref="C11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Gilford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16707</v>
      </c>
    </row>
    <row r="5" spans="1:4">
      <c r="B5" t="s">
        <v>704</v>
      </c>
      <c r="C5" s="179">
        <f>IF('DOE25'!G664+'DOE25'!G669=0,0,ROUND('DOE25'!G671,0))</f>
        <v>17079</v>
      </c>
    </row>
    <row r="6" spans="1:4">
      <c r="B6" t="s">
        <v>62</v>
      </c>
      <c r="C6" s="179">
        <f>IF('DOE25'!H664+'DOE25'!H669=0,0,ROUND('DOE25'!H671,0))</f>
        <v>15897</v>
      </c>
    </row>
    <row r="7" spans="1:4">
      <c r="B7" t="s">
        <v>705</v>
      </c>
      <c r="C7" s="179">
        <f>IF('DOE25'!I664+'DOE25'!I669=0,0,ROUND('DOE25'!I671,0))</f>
        <v>16474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9421659</v>
      </c>
      <c r="D10" s="182">
        <f>ROUND((C10/$C$28)*100,1)</f>
        <v>43.2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3881973</v>
      </c>
      <c r="D11" s="182">
        <f>ROUND((C11/$C$28)*100,1)</f>
        <v>17.8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220579</v>
      </c>
      <c r="D12" s="182">
        <f>ROUND((C12/$C$28)*100,1)</f>
        <v>1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529653</v>
      </c>
      <c r="D13" s="182">
        <f>ROUND((C13/$C$28)*100,1)</f>
        <v>2.4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1155493</v>
      </c>
      <c r="D15" s="182">
        <f t="shared" ref="D15:D27" si="0">ROUND((C15/$C$28)*100,1)</f>
        <v>5.3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970262</v>
      </c>
      <c r="D16" s="182">
        <f t="shared" si="0"/>
        <v>4.5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277606</v>
      </c>
      <c r="D17" s="182">
        <f t="shared" si="0"/>
        <v>1.3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1385045</v>
      </c>
      <c r="D18" s="182">
        <f t="shared" si="0"/>
        <v>6.4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335367</v>
      </c>
      <c r="D19" s="182">
        <f t="shared" si="0"/>
        <v>1.5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2539562</v>
      </c>
      <c r="D20" s="182">
        <f t="shared" si="0"/>
        <v>11.7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559127</v>
      </c>
      <c r="D21" s="182">
        <f t="shared" si="0"/>
        <v>2.6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415779</v>
      </c>
      <c r="D25" s="182">
        <f t="shared" si="0"/>
        <v>1.9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106313.75</v>
      </c>
      <c r="D27" s="182">
        <f t="shared" si="0"/>
        <v>0.5</v>
      </c>
    </row>
    <row r="28" spans="1:4">
      <c r="B28" s="187" t="s">
        <v>723</v>
      </c>
      <c r="C28" s="180">
        <f>SUM(C10:C27)</f>
        <v>21798418.75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21798418.75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850000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14233054</v>
      </c>
      <c r="D35" s="182">
        <f t="shared" ref="D35:D40" si="1">ROUND((C35/$C$41)*100,1)</f>
        <v>113.8</v>
      </c>
    </row>
    <row r="36" spans="1:4">
      <c r="B36" s="185" t="s">
        <v>743</v>
      </c>
      <c r="C36" s="179">
        <f>SUM('DOE25'!F111:J111)-SUM('DOE25'!G96:G109)+('DOE25'!F173+'DOE25'!F174+'DOE25'!I173+'DOE25'!I174)-C35</f>
        <v>3023515.2800000012</v>
      </c>
      <c r="D36" s="182">
        <f t="shared" si="1"/>
        <v>24.2</v>
      </c>
    </row>
    <row r="37" spans="1:4">
      <c r="A37" s="183" t="s">
        <v>853</v>
      </c>
      <c r="B37" s="185" t="s">
        <v>732</v>
      </c>
      <c r="C37" s="179">
        <f>ROUND('DOE25'!F116+'DOE25'!F117+'DOE25'!F145,0)</f>
        <v>4773973</v>
      </c>
      <c r="D37" s="182">
        <f t="shared" si="1"/>
        <v>38.200000000000003</v>
      </c>
    </row>
    <row r="38" spans="1:4">
      <c r="A38" s="183" t="s">
        <v>738</v>
      </c>
      <c r="B38" s="185" t="s">
        <v>733</v>
      </c>
      <c r="C38" s="179">
        <f>ROUND(SUM('DOE25'!F139:J139)-SUM('DOE25'!F116:F145),0)</f>
        <v>-10244884</v>
      </c>
      <c r="D38" s="182">
        <f t="shared" si="1"/>
        <v>-81.900000000000006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717610</v>
      </c>
      <c r="D39" s="182">
        <f t="shared" si="1"/>
        <v>5.7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12503268.280000001</v>
      </c>
      <c r="D41" s="184">
        <f>SUM(D35:D40)</f>
        <v>99.999999999999986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6" t="s">
        <v>767</v>
      </c>
      <c r="B2" s="297"/>
      <c r="C2" s="297"/>
      <c r="D2" s="297"/>
      <c r="E2" s="297"/>
      <c r="F2" s="290" t="str">
        <f>'DOE25'!A2</f>
        <v>Gilford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2012-10-22T17:13:13Z</cp:lastPrinted>
  <dcterms:created xsi:type="dcterms:W3CDTF">1997-12-04T19:04:30Z</dcterms:created>
  <dcterms:modified xsi:type="dcterms:W3CDTF">2012-11-21T14:35:28Z</dcterms:modified>
</cp:coreProperties>
</file>