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9" i="1" l="1"/>
  <c r="F36" i="1"/>
  <c r="F471" i="1"/>
  <c r="F24" i="1"/>
  <c r="H243" i="1"/>
  <c r="J591" i="1"/>
  <c r="F116" i="1"/>
  <c r="F49" i="1" l="1"/>
  <c r="J242" i="1"/>
  <c r="I242" i="1"/>
  <c r="H242" i="1"/>
  <c r="G242" i="1"/>
  <c r="F242" i="1"/>
  <c r="H240" i="1"/>
  <c r="H238" i="1"/>
  <c r="G238" i="1"/>
  <c r="F238" i="1"/>
  <c r="I237" i="1"/>
  <c r="H237" i="1"/>
  <c r="G237" i="1"/>
  <c r="F237" i="1"/>
  <c r="G233" i="1"/>
  <c r="F233" i="1"/>
  <c r="J232" i="1"/>
  <c r="I232" i="1"/>
  <c r="H232" i="1"/>
  <c r="G232" i="1"/>
  <c r="F232" i="1"/>
  <c r="H225" i="1"/>
  <c r="J224" i="1"/>
  <c r="I224" i="1"/>
  <c r="H224" i="1"/>
  <c r="G224" i="1"/>
  <c r="F224" i="1"/>
  <c r="H222" i="1"/>
  <c r="H220" i="1"/>
  <c r="G220" i="1"/>
  <c r="F220" i="1"/>
  <c r="I219" i="1"/>
  <c r="H219" i="1"/>
  <c r="G219" i="1"/>
  <c r="F219" i="1"/>
  <c r="H215" i="1"/>
  <c r="G215" i="1"/>
  <c r="F215" i="1"/>
  <c r="J214" i="1"/>
  <c r="I214" i="1"/>
  <c r="H214" i="1"/>
  <c r="G214" i="1"/>
  <c r="F214" i="1"/>
  <c r="J206" i="1"/>
  <c r="I206" i="1"/>
  <c r="H206" i="1"/>
  <c r="G206" i="1"/>
  <c r="F206" i="1"/>
  <c r="H204" i="1"/>
  <c r="I203" i="1"/>
  <c r="H202" i="1"/>
  <c r="G202" i="1"/>
  <c r="F202" i="1"/>
  <c r="G201" i="1"/>
  <c r="F201" i="1"/>
  <c r="H197" i="1"/>
  <c r="J196" i="1"/>
  <c r="I196" i="1"/>
  <c r="H196" i="1"/>
  <c r="G197" i="1"/>
  <c r="G196" i="1"/>
  <c r="F197" i="1"/>
  <c r="F196" i="1"/>
  <c r="F13" i="1"/>
  <c r="G12" i="1"/>
  <c r="G9" i="1"/>
  <c r="I275" i="1"/>
  <c r="H23" i="1"/>
  <c r="I9" i="1"/>
  <c r="H207" i="1" l="1"/>
  <c r="J594" i="1"/>
  <c r="I591" i="1"/>
  <c r="H591" i="1"/>
  <c r="H581" i="1"/>
  <c r="K522" i="1" l="1"/>
  <c r="J522" i="1"/>
  <c r="I522" i="1"/>
  <c r="H522" i="1"/>
  <c r="G522" i="1"/>
  <c r="F522" i="1"/>
  <c r="K521" i="1" l="1"/>
  <c r="J521" i="1"/>
  <c r="I521" i="1"/>
  <c r="H521" i="1"/>
  <c r="G521" i="1"/>
  <c r="F521" i="1"/>
  <c r="K520" i="1"/>
  <c r="J520" i="1"/>
  <c r="I520" i="1"/>
  <c r="H520" i="1"/>
  <c r="G520" i="1"/>
  <c r="F520" i="1"/>
  <c r="G471" i="1" l="1"/>
  <c r="H467" i="1"/>
  <c r="H367" i="1"/>
  <c r="G367" i="1"/>
  <c r="F367" i="1"/>
  <c r="K359" i="1"/>
  <c r="I359" i="1"/>
  <c r="H359" i="1"/>
  <c r="G359" i="1"/>
  <c r="F359" i="1"/>
  <c r="J358" i="1"/>
  <c r="I358" i="1"/>
  <c r="H358" i="1"/>
  <c r="G358" i="1"/>
  <c r="F358" i="1"/>
  <c r="K357" i="1"/>
  <c r="I357" i="1"/>
  <c r="H357" i="1"/>
  <c r="G357" i="1"/>
  <c r="F357" i="1"/>
  <c r="G334" i="1" l="1"/>
  <c r="F334" i="1"/>
  <c r="G295" i="1" l="1"/>
  <c r="F295" i="1"/>
  <c r="G281" i="1"/>
  <c r="F281" i="1"/>
  <c r="G276" i="1"/>
  <c r="F276" i="1"/>
  <c r="H275" i="1"/>
  <c r="G275" i="1"/>
  <c r="F275" i="1"/>
  <c r="K260" i="1" l="1"/>
  <c r="K259" i="1"/>
  <c r="J215" i="1"/>
  <c r="I202" i="1"/>
  <c r="H167" i="1" l="1"/>
  <c r="H154" i="1"/>
  <c r="H98" i="1"/>
  <c r="H101" i="1"/>
  <c r="H151" i="1"/>
  <c r="G167" i="1"/>
  <c r="G157" i="1"/>
  <c r="G96" i="1"/>
  <c r="F109" i="1"/>
  <c r="F100" i="1"/>
  <c r="F160" i="1"/>
  <c r="F95" i="1"/>
  <c r="F30" i="1"/>
  <c r="G314" i="1" l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E13" i="13" s="1"/>
  <c r="C13" i="13" s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C109" i="2" s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G661" i="1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F660" i="1" s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E111" i="2" s="1"/>
  <c r="L299" i="1"/>
  <c r="L300" i="1"/>
  <c r="L301" i="1"/>
  <c r="L302" i="1"/>
  <c r="L303" i="1"/>
  <c r="L304" i="1"/>
  <c r="E122" i="2" s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131" i="2" s="1"/>
  <c r="L340" i="1"/>
  <c r="L341" i="1"/>
  <c r="L254" i="1"/>
  <c r="L335" i="1"/>
  <c r="E129" i="2" s="1"/>
  <c r="E143" i="2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L611" i="1"/>
  <c r="L610" i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L249" i="1"/>
  <c r="L331" i="1"/>
  <c r="L253" i="1"/>
  <c r="C25" i="10"/>
  <c r="L267" i="1"/>
  <c r="L268" i="1"/>
  <c r="L348" i="1"/>
  <c r="L349" i="1"/>
  <c r="I664" i="1"/>
  <c r="I669" i="1"/>
  <c r="F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0" i="2"/>
  <c r="E110" i="2"/>
  <c r="C112" i="2"/>
  <c r="E112" i="2"/>
  <c r="C113" i="2"/>
  <c r="E113" i="2"/>
  <c r="D114" i="2"/>
  <c r="F114" i="2"/>
  <c r="G114" i="2"/>
  <c r="E117" i="2"/>
  <c r="E119" i="2"/>
  <c r="E120" i="2"/>
  <c r="C123" i="2"/>
  <c r="E123" i="2"/>
  <c r="C124" i="2"/>
  <c r="E124" i="2"/>
  <c r="F127" i="2"/>
  <c r="G127" i="2"/>
  <c r="C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I19" i="1"/>
  <c r="G619" i="1" s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H603" i="1" s="1"/>
  <c r="K210" i="1"/>
  <c r="F228" i="1"/>
  <c r="G228" i="1"/>
  <c r="H228" i="1"/>
  <c r="I228" i="1"/>
  <c r="J228" i="1"/>
  <c r="I603" i="1" s="1"/>
  <c r="K228" i="1"/>
  <c r="F246" i="1"/>
  <c r="G246" i="1"/>
  <c r="H246" i="1"/>
  <c r="I246" i="1"/>
  <c r="J246" i="1"/>
  <c r="J603" i="1" s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G641" i="1" s="1"/>
  <c r="F451" i="1"/>
  <c r="G451" i="1"/>
  <c r="H451" i="1"/>
  <c r="I451" i="1"/>
  <c r="F459" i="1"/>
  <c r="G459" i="1"/>
  <c r="H459" i="1"/>
  <c r="I459" i="1"/>
  <c r="I460" i="1" s="1"/>
  <c r="H641" i="1" s="1"/>
  <c r="F460" i="1"/>
  <c r="G460" i="1"/>
  <c r="H460" i="1"/>
  <c r="H469" i="1"/>
  <c r="J469" i="1"/>
  <c r="G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H604" i="1"/>
  <c r="I604" i="1"/>
  <c r="J604" i="1"/>
  <c r="F613" i="1"/>
  <c r="G613" i="1"/>
  <c r="H613" i="1"/>
  <c r="I613" i="1"/>
  <c r="J613" i="1"/>
  <c r="K613" i="1"/>
  <c r="L613" i="1"/>
  <c r="G618" i="1"/>
  <c r="G622" i="1"/>
  <c r="G623" i="1"/>
  <c r="H628" i="1"/>
  <c r="H630" i="1"/>
  <c r="G633" i="1"/>
  <c r="H634" i="1"/>
  <c r="H635" i="1"/>
  <c r="H636" i="1"/>
  <c r="H637" i="1"/>
  <c r="G638" i="1"/>
  <c r="H638" i="1"/>
  <c r="G639" i="1"/>
  <c r="H639" i="1"/>
  <c r="G640" i="1"/>
  <c r="H640" i="1"/>
  <c r="G642" i="1"/>
  <c r="H642" i="1"/>
  <c r="G643" i="1"/>
  <c r="G644" i="1"/>
  <c r="H644" i="1"/>
  <c r="H646" i="1"/>
  <c r="G648" i="1"/>
  <c r="G649" i="1"/>
  <c r="G650" i="1"/>
  <c r="G651" i="1"/>
  <c r="H651" i="1"/>
  <c r="J651" i="1" s="1"/>
  <c r="G652" i="1"/>
  <c r="H652" i="1"/>
  <c r="J652" i="1" s="1"/>
  <c r="G653" i="1"/>
  <c r="H653" i="1"/>
  <c r="J653" i="1" s="1"/>
  <c r="H654" i="1"/>
  <c r="F191" i="1"/>
  <c r="L255" i="1"/>
  <c r="G163" i="2"/>
  <c r="G159" i="2"/>
  <c r="C18" i="2"/>
  <c r="F31" i="2"/>
  <c r="C26" i="10"/>
  <c r="L327" i="1"/>
  <c r="L350" i="1"/>
  <c r="A31" i="12"/>
  <c r="C69" i="2"/>
  <c r="G8" i="2"/>
  <c r="G161" i="2"/>
  <c r="E49" i="2"/>
  <c r="D18" i="13"/>
  <c r="C18" i="13" s="1"/>
  <c r="F102" i="2"/>
  <c r="D18" i="2"/>
  <c r="D17" i="13"/>
  <c r="C17" i="13" s="1"/>
  <c r="D6" i="13"/>
  <c r="C6" i="13" s="1"/>
  <c r="G158" i="2"/>
  <c r="C90" i="2"/>
  <c r="G80" i="2"/>
  <c r="F77" i="2"/>
  <c r="F80" i="2" s="1"/>
  <c r="F61" i="2"/>
  <c r="F62" i="2" s="1"/>
  <c r="D31" i="2"/>
  <c r="D49" i="2"/>
  <c r="D50" i="2" s="1"/>
  <c r="G156" i="2"/>
  <c r="F49" i="2"/>
  <c r="F18" i="2"/>
  <c r="G162" i="2"/>
  <c r="G160" i="2"/>
  <c r="G157" i="2"/>
  <c r="G155" i="2"/>
  <c r="G102" i="2"/>
  <c r="E102" i="2"/>
  <c r="C102" i="2"/>
  <c r="D90" i="2"/>
  <c r="F90" i="2"/>
  <c r="E61" i="2"/>
  <c r="E62" i="2" s="1"/>
  <c r="C61" i="2"/>
  <c r="C62" i="2" s="1"/>
  <c r="E31" i="2"/>
  <c r="G61" i="2"/>
  <c r="D19" i="13"/>
  <c r="C19" i="13" s="1"/>
  <c r="L543" i="1" l="1"/>
  <c r="C121" i="2"/>
  <c r="A40" i="12"/>
  <c r="H662" i="1"/>
  <c r="K603" i="1"/>
  <c r="G662" i="1"/>
  <c r="E18" i="2"/>
  <c r="F662" i="1"/>
  <c r="L528" i="1"/>
  <c r="F544" i="1"/>
  <c r="L523" i="1"/>
  <c r="K502" i="1"/>
  <c r="K499" i="1"/>
  <c r="I368" i="1"/>
  <c r="H633" i="1" s="1"/>
  <c r="H660" i="1"/>
  <c r="D29" i="13"/>
  <c r="C29" i="13" s="1"/>
  <c r="E108" i="2"/>
  <c r="E114" i="2" s="1"/>
  <c r="C13" i="10"/>
  <c r="E109" i="2"/>
  <c r="C24" i="10"/>
  <c r="C111" i="2"/>
  <c r="D12" i="13"/>
  <c r="C12" i="13" s="1"/>
  <c r="C120" i="2"/>
  <c r="C18" i="10"/>
  <c r="D7" i="13"/>
  <c r="C7" i="13" s="1"/>
  <c r="C77" i="2"/>
  <c r="F139" i="1"/>
  <c r="J641" i="1"/>
  <c r="G624" i="1"/>
  <c r="F50" i="2"/>
  <c r="J619" i="1"/>
  <c r="J618" i="1"/>
  <c r="G621" i="1"/>
  <c r="C31" i="2"/>
  <c r="J616" i="1"/>
  <c r="D126" i="2"/>
  <c r="D127" i="2" s="1"/>
  <c r="D144" i="2" s="1"/>
  <c r="G660" i="1"/>
  <c r="L361" i="1"/>
  <c r="E118" i="2"/>
  <c r="G31" i="13"/>
  <c r="G33" i="13" s="1"/>
  <c r="E121" i="2"/>
  <c r="J337" i="1"/>
  <c r="J351" i="1" s="1"/>
  <c r="I337" i="1"/>
  <c r="I351" i="1" s="1"/>
  <c r="C19" i="10"/>
  <c r="F31" i="13"/>
  <c r="L289" i="1"/>
  <c r="I661" i="1"/>
  <c r="D15" i="13"/>
  <c r="C15" i="13" s="1"/>
  <c r="J649" i="1"/>
  <c r="C21" i="10"/>
  <c r="J648" i="1"/>
  <c r="I256" i="1"/>
  <c r="I270" i="1" s="1"/>
  <c r="C20" i="10"/>
  <c r="C122" i="2"/>
  <c r="D14" i="13"/>
  <c r="C14" i="13" s="1"/>
  <c r="K256" i="1"/>
  <c r="K270" i="1" s="1"/>
  <c r="C119" i="2"/>
  <c r="E8" i="13"/>
  <c r="C8" i="13" s="1"/>
  <c r="C17" i="10"/>
  <c r="C16" i="10"/>
  <c r="C118" i="2"/>
  <c r="L210" i="1"/>
  <c r="C117" i="2"/>
  <c r="C15" i="10"/>
  <c r="G256" i="1"/>
  <c r="G270" i="1" s="1"/>
  <c r="L246" i="1"/>
  <c r="H659" i="1" s="1"/>
  <c r="C11" i="10"/>
  <c r="L228" i="1"/>
  <c r="A22" i="12"/>
  <c r="C10" i="10"/>
  <c r="C108" i="2"/>
  <c r="F256" i="1"/>
  <c r="F270" i="1" s="1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L433" i="1"/>
  <c r="G637" i="1" s="1"/>
  <c r="E50" i="2"/>
  <c r="J643" i="1"/>
  <c r="J642" i="1"/>
  <c r="J475" i="1"/>
  <c r="H625" i="1" s="1"/>
  <c r="G337" i="1"/>
  <c r="G351" i="1" s="1"/>
  <c r="C23" i="10"/>
  <c r="F168" i="1"/>
  <c r="J139" i="1"/>
  <c r="D103" i="2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J617" i="1"/>
  <c r="J551" i="1"/>
  <c r="H551" i="1"/>
  <c r="C29" i="10"/>
  <c r="H139" i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H191" i="1"/>
  <c r="F551" i="1"/>
  <c r="C35" i="10"/>
  <c r="L308" i="1"/>
  <c r="D5" i="13"/>
  <c r="E16" i="13"/>
  <c r="C49" i="2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H544" i="1"/>
  <c r="K550" i="1"/>
  <c r="F143" i="2"/>
  <c r="F144" i="2" s="1"/>
  <c r="L544" i="1" l="1"/>
  <c r="I662" i="1"/>
  <c r="G627" i="1"/>
  <c r="G467" i="1"/>
  <c r="K551" i="1"/>
  <c r="G629" i="1"/>
  <c r="I467" i="1"/>
  <c r="C39" i="10"/>
  <c r="H663" i="1"/>
  <c r="H666" i="1" s="1"/>
  <c r="I660" i="1"/>
  <c r="C114" i="2"/>
  <c r="H192" i="1"/>
  <c r="G628" i="1" s="1"/>
  <c r="J628" i="1" s="1"/>
  <c r="C36" i="10"/>
  <c r="C38" i="10"/>
  <c r="F192" i="1"/>
  <c r="C50" i="2"/>
  <c r="C27" i="10"/>
  <c r="C28" i="10" s="1"/>
  <c r="C30" i="10" s="1"/>
  <c r="G634" i="1"/>
  <c r="J634" i="1" s="1"/>
  <c r="E127" i="2"/>
  <c r="E144" i="2" s="1"/>
  <c r="H647" i="1"/>
  <c r="J647" i="1" s="1"/>
  <c r="F659" i="1"/>
  <c r="F663" i="1" s="1"/>
  <c r="F671" i="1" s="1"/>
  <c r="C4" i="10" s="1"/>
  <c r="C127" i="2"/>
  <c r="L256" i="1"/>
  <c r="L270" i="1" s="1"/>
  <c r="J270" i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C25" i="13"/>
  <c r="H33" i="13"/>
  <c r="G630" i="1"/>
  <c r="J630" i="1" s="1"/>
  <c r="G645" i="1"/>
  <c r="G625" i="1"/>
  <c r="J51" i="1"/>
  <c r="H620" i="1" s="1"/>
  <c r="J620" i="1" s="1"/>
  <c r="G626" i="1" l="1"/>
  <c r="F467" i="1"/>
  <c r="G632" i="1"/>
  <c r="H471" i="1"/>
  <c r="G631" i="1"/>
  <c r="H627" i="1"/>
  <c r="G469" i="1"/>
  <c r="G475" i="1" s="1"/>
  <c r="H622" i="1" s="1"/>
  <c r="J622" i="1" s="1"/>
  <c r="J627" i="1"/>
  <c r="H629" i="1"/>
  <c r="I469" i="1"/>
  <c r="I475" i="1" s="1"/>
  <c r="H624" i="1" s="1"/>
  <c r="J624" i="1" s="1"/>
  <c r="J629" i="1"/>
  <c r="H671" i="1"/>
  <c r="C6" i="10" s="1"/>
  <c r="C41" i="10"/>
  <c r="D39" i="10" s="1"/>
  <c r="F666" i="1"/>
  <c r="C144" i="2"/>
  <c r="D12" i="10"/>
  <c r="D26" i="10"/>
  <c r="D22" i="10"/>
  <c r="D13" i="10"/>
  <c r="D27" i="10"/>
  <c r="D10" i="10"/>
  <c r="D18" i="10"/>
  <c r="D15" i="10"/>
  <c r="D23" i="10"/>
  <c r="D20" i="10"/>
  <c r="D19" i="10"/>
  <c r="D17" i="10"/>
  <c r="D24" i="10"/>
  <c r="D21" i="10"/>
  <c r="D16" i="10"/>
  <c r="D11" i="10"/>
  <c r="D25" i="10"/>
  <c r="G636" i="1"/>
  <c r="J636" i="1" s="1"/>
  <c r="H645" i="1"/>
  <c r="J645" i="1" s="1"/>
  <c r="D33" i="13"/>
  <c r="D36" i="13" s="1"/>
  <c r="G663" i="1"/>
  <c r="I659" i="1"/>
  <c r="I663" i="1" s="1"/>
  <c r="J625" i="1"/>
  <c r="H626" i="1" l="1"/>
  <c r="F469" i="1"/>
  <c r="J626" i="1"/>
  <c r="H473" i="1"/>
  <c r="H475" i="1" s="1"/>
  <c r="H623" i="1" s="1"/>
  <c r="J623" i="1" s="1"/>
  <c r="H632" i="1"/>
  <c r="J632" i="1"/>
  <c r="H631" i="1"/>
  <c r="J631" i="1" s="1"/>
  <c r="F473" i="1"/>
  <c r="F475" i="1" s="1"/>
  <c r="H621" i="1" s="1"/>
  <c r="J621" i="1" s="1"/>
  <c r="D38" i="10"/>
  <c r="D36" i="10"/>
  <c r="D37" i="10"/>
  <c r="D40" i="10"/>
  <c r="D35" i="10"/>
  <c r="D28" i="10"/>
  <c r="I666" i="1"/>
  <c r="I671" i="1"/>
  <c r="C7" i="10" s="1"/>
  <c r="G671" i="1"/>
  <c r="C5" i="10" s="1"/>
  <c r="G666" i="1"/>
  <c r="H655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<sst xmlns="http://schemas.openxmlformats.org/spreadsheetml/2006/main" count="3950" uniqueCount="917">
  <si>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</si>
  <si>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</si>
  <si>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</si>
  <si>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</si>
  <si>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</si>
  <si>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</si>
  <si>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</si>
  <si>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</si>
  <si>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</si>
  <si>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</si>
  <si>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</si>
  <si>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</si>
  <si>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</si>
  <si>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</si>
  <si>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</si>
  <si>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</si>
  <si>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</si>
  <si>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</si>
  <si>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</si>
  <si>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</si>
  <si>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</si>
  <si>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</si>
  <si>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</si>
  <si>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</si>
  <si>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</si>
  <si>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</si>
  <si>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</si>
  <si>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</si>
  <si>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</si>
  <si>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</si>
  <si>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</si>
  <si>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</si>
  <si>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</si>
  <si>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</si>
  <si>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</si>
  <si>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</si>
  <si>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</si>
  <si>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</si>
  <si>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</si>
  <si>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</si>
  <si>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</si>
  <si>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</si>
  <si>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</si>
  <si>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</si>
  <si>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</si>
  <si>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</si>
  <si>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</si>
  <si>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</si>
  <si>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</si>
  <si>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</si>
  <si>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</si>
  <si>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</si>
  <si>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</si>
  <si>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</si>
  <si>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</si>
  <si>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</si>
  <si>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</si>
  <si>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</si>
  <si>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</si>
  <si>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</si>
  <si>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</si>
  <si>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</si>
  <si>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</si>
  <si>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</si>
  <si>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</si>
  <si>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</si>
  <si>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</si>
  <si>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</si>
  <si>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</si>
  <si>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</si>
  <si>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</si>
  <si>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</si>
  <si>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</si>
  <si>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</si>
  <si>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</si>
  <si>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</si>
  <si>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</si>
  <si>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</si>
  <si>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</si>
  <si>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</si>
  <si>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</si>
  <si>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</si>
  <si>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</si>
  <si>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</si>
  <si>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</si>
  <si>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</si>
  <si>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</si>
  <si>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</si>
  <si>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</si>
  <si>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</si>
  <si>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</si>
  <si>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</si>
  <si>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</si>
  <si>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</si>
  <si>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</si>
  <si>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</si>
  <si>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</si>
  <si>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</si>
  <si>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</si>
  <si>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</si>
  <si>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</si>
  <si>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</si>
  <si>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</si>
  <si>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</si>
  <si>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</si>
  <si>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</si>
  <si>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</si>
  <si>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</si>
  <si>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</si>
  <si>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</si>
  <si>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</si>
  <si>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</si>
  <si>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</si>
  <si>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</si>
  <si>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</si>
  <si>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</si>
  <si>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</si>
  <si>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</si>
  <si>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</si>
  <si>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</si>
  <si>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</si>
  <si>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</si>
  <si>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</si>
  <si>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</si>
  <si>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</si>
  <si>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</si>
  <si>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</si>
  <si>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</si>
  <si>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</si>
  <si>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</si>
  <si>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</si>
  <si>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</si>
  <si>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</si>
  <si>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</si>
  <si>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</si>
  <si>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</si>
  <si>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</si>
  <si>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</si>
  <si>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</si>
  <si>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</si>
  <si>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</si>
  <si>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</si>
  <si>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</si>
  <si>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</si>
  <si>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</si>
  <si>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</si>
  <si>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</si>
  <si>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</si>
  <si>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</si>
  <si>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</si>
  <si>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</si>
  <si>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</si>
  <si>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</si>
  <si>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</si>
  <si>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</si>
  <si>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</si>
  <si>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</si>
  <si>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</si>
  <si>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</si>
  <si>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</si>
  <si>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</si>
  <si>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</si>
  <si>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</si>
  <si>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</si>
  <si>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</si>
  <si>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</si>
  <si>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</si>
  <si>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</si>
  <si>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</si>
  <si>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</si>
  <si>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</si>
  <si>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</si>
  <si>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</si>
  <si>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</si>
  <si>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</si>
  <si>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</si>
  <si>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</si>
  <si>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</si>
  <si>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</si>
  <si>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</si>
  <si>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</si>
  <si>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</si>
  <si>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</si>
  <si>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</si>
  <si>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</si>
  <si>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</si>
  <si>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</si>
  <si>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</si>
  <si>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</si>
  <si>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</si>
  <si>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</si>
  <si>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</si>
  <si>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</si>
  <si>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</si>
  <si>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</si>
  <si>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</si>
  <si>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</si>
  <si>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</si>
  <si>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</si>
  <si>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</si>
  <si>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</si>
  <si>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</si>
  <si>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</si>
  <si>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</si>
  <si>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</si>
  <si>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</si>
  <si>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</si>
  <si>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</si>
  <si>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</si>
  <si>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</si>
  <si>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</si>
  <si>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</si>
  <si>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</si>
  <si>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</si>
  <si>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</si>
  <si>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</si>
  <si>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</si>
  <si>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</si>
  <si>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</si>
  <si>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</si>
  <si>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</si>
  <si>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</si>
  <si>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</si>
  <si>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</si>
  <si>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</si>
  <si>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</si>
  <si>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</si>
  <si>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</si>
  <si>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</si>
  <si>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</si>
  <si>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</si>
  <si>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</si>
  <si>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</si>
  <si>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</si>
  <si>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</si>
  <si>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</si>
  <si>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</si>
  <si>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</si>
  <si>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</si>
  <si>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</si>
  <si>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</si>
  <si>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</si>
  <si>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</si>
  <si>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</si>
  <si>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</si>
  <si>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</si>
  <si>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</si>
  <si>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</si>
  <si>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</si>
  <si>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</si>
  <si>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</si>
  <si>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</si>
  <si>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</si>
  <si>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</si>
  <si>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</si>
  <si>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</si>
  <si>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</si>
  <si>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</si>
  <si>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</si>
  <si>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</si>
  <si>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</si>
  <si>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</si>
  <si>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</si>
  <si>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</si>
  <si>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</si>
  <si>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</si>
  <si>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</si>
  <si>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</si>
  <si>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</si>
  <si>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</si>
  <si>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</si>
  <si>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</si>
  <si>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</si>
  <si>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</si>
  <si>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</si>
  <si>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</si>
  <si>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</si>
  <si>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</si>
  <si>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</si>
  <si>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</si>
  <si>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</si>
  <si>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</si>
  <si>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</si>
  <si>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</si>
  <si>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</si>
  <si>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</si>
  <si>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</si>
  <si>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</si>
  <si>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</si>
  <si>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</si>
  <si>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</si>
  <si>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</si>
  <si>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</si>
  <si>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</si>
  <si>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</si>
  <si>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</si>
  <si>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</si>
  <si>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</si>
  <si>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</si>
  <si>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</si>
  <si>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</si>
  <si>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</si>
  <si>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</si>
  <si>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</si>
  <si>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</si>
  <si>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</si>
  <si>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</si>
  <si>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</si>
  <si>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</si>
  <si>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</si>
  <si>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</si>
  <si>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</si>
  <si>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</si>
  <si>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</si>
  <si>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</si>
  <si>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</si>
  <si>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</si>
  <si>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</si>
  <si>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</si>
  <si>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</si>
  <si>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</si>
  <si>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</si>
  <si>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</si>
  <si>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</si>
  <si>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</si>
  <si>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</si>
  <si>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</si>
  <si>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</si>
  <si>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</si>
  <si>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</si>
  <si>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</si>
  <si>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</si>
  <si>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</si>
  <si>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</si>
  <si>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</si>
  <si>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</si>
  <si>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</si>
  <si>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</si>
  <si>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</si>
  <si>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</si>
  <si>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</si>
  <si>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</si>
  <si>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</si>
  <si>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</si>
  <si>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</si>
  <si>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</si>
  <si>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</si>
  <si>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</si>
  <si>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</si>
  <si>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</si>
  <si>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</si>
  <si>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</si>
  <si>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</si>
  <si>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</si>
  <si>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</si>
  <si>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</si>
  <si>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</si>
  <si>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</si>
  <si>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</si>
  <si>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</si>
  <si>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</si>
  <si>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</si>
  <si>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</si>
  <si>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</si>
  <si>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</si>
  <si>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</si>
  <si>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</si>
  <si>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</si>
  <si>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</si>
  <si>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</si>
  <si>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</si>
  <si>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</si>
  <si>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</si>
  <si>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</si>
  <si>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</si>
  <si>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</si>
  <si>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</si>
  <si>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</si>
  <si>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</si>
  <si>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</si>
  <si>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</si>
  <si>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</si>
  <si>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</si>
  <si>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</si>
  <si>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</si>
  <si>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</si>
  <si>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</si>
  <si>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</si>
  <si>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</si>
  <si>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</si>
  <si>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</si>
  <si>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</si>
  <si>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</si>
  <si>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</si>
  <si>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</si>
  <si>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</si>
  <si>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</si>
  <si>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</si>
  <si>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</si>
  <si>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</si>
  <si>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</si>
  <si>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</si>
  <si>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</si>
  <si>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</si>
  <si>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</si>
  <si>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</si>
  <si>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</si>
  <si>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</si>
  <si>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</si>
  <si>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</si>
  <si>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</si>
  <si>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</si>
  <si>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</si>
  <si>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</si>
  <si>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</si>
  <si>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</si>
  <si>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</si>
  <si>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</si>
  <si>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</si>
  <si>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</si>
  <si>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</si>
  <si>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</si>
  <si>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</si>
  <si>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</si>
  <si>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</si>
  <si>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</si>
  <si>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</si>
  <si>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</si>
  <si>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</si>
  <si>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</si>
  <si>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</si>
  <si>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</si>
  <si>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</si>
  <si>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</si>
  <si>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</si>
  <si>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</si>
  <si>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</si>
  <si>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</si>
  <si>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</si>
  <si>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</si>
  <si>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</si>
  <si>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</si>
  <si>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</si>
  <si>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</si>
  <si>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</si>
  <si>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</si>
  <si>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</si>
  <si>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</si>
  <si>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</si>
  <si>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</si>
  <si>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</si>
  <si>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</si>
  <si>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</si>
  <si>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</si>
  <si>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</si>
  <si>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</si>
  <si>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</si>
  <si>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</si>
  <si>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</si>
  <si>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</si>
  <si>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</si>
  <si>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</si>
  <si>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</si>
  <si>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</si>
  <si>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</si>
  <si>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</si>
  <si>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</si>
  <si>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</si>
  <si>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</si>
  <si>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</si>
  <si>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</si>
  <si>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</si>
  <si>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</si>
  <si>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</si>
  <si>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</si>
  <si>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</si>
  <si>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</si>
  <si>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</si>
  <si>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</si>
  <si>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</si>
  <si>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</si>
  <si>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</si>
  <si>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</si>
  <si>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</si>
  <si>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</si>
  <si>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</si>
  <si>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</si>
  <si>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</si>
  <si>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</si>
  <si>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</si>
  <si>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</si>
  <si>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</si>
  <si>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</si>
  <si>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</si>
  <si>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</si>
  <si>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</si>
  <si>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</si>
  <si>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</si>
  <si>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</si>
  <si>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</si>
  <si>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</si>
  <si>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</si>
  <si>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</si>
  <si>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</si>
  <si>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</si>
  <si>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</si>
  <si>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</si>
  <si>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</si>
  <si>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</si>
  <si>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</si>
  <si>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</si>
  <si>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</si>
  <si>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</si>
  <si>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</si>
  <si>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</si>
  <si>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</si>
  <si>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</si>
  <si>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</si>
  <si>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</si>
  <si>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</si>
  <si>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</si>
  <si>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</si>
  <si>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</si>
  <si>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</si>
  <si>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</si>
  <si>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</si>
  <si>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</si>
  <si>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</si>
  <si>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</si>
  <si>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</si>
  <si>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</si>
  <si>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</si>
  <si>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</si>
  <si>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</si>
  <si>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</si>
  <si>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</si>
  <si>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</si>
  <si>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</si>
  <si>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</si>
  <si>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</si>
  <si>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</si>
  <si>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</si>
  <si>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</si>
  <si>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</si>
  <si>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</si>
  <si>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</si>
  <si>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</si>
  <si>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</si>
  <si>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</si>
  <si>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</si>
  <si>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</si>
  <si>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</si>
  <si>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</si>
  <si>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</si>
  <si>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</si>
  <si>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</si>
  <si>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</si>
  <si>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</si>
  <si>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</si>
  <si>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</si>
  <si>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</si>
  <si>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</si>
  <si>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</si>
  <si>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</si>
  <si>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</si>
  <si>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</si>
  <si>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</si>
  <si>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</si>
  <si>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</si>
  <si>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</si>
  <si>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</si>
  <si>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</si>
  <si>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</si>
  <si>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</si>
  <si>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</si>
  <si>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</si>
  <si>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</si>
  <si>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</si>
  <si>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</si>
  <si>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</si>
  <si>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</si>
  <si>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</si>
  <si>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</si>
  <si>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</si>
  <si>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</si>
  <si>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</si>
  <si>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</si>
  <si>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</si>
  <si>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</si>
  <si>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</si>
  <si>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</si>
  <si>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</si>
  <si>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</si>
  <si>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</si>
  <si>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</si>
  <si>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</si>
  <si>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</si>
  <si>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</si>
  <si>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</si>
  <si>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</si>
  <si>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</si>
  <si>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</si>
  <si>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</si>
  <si>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</si>
  <si>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</si>
  <si>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</si>
  <si>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</si>
  <si>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</si>
  <si>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</si>
  <si>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</si>
  <si>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</si>
  <si>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</si>
  <si>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</si>
  <si>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</si>
  <si>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</si>
  <si>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</si>
  <si>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</si>
  <si>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</si>
  <si>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</si>
  <si>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</si>
  <si>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</si>
  <si>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</si>
  <si>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</si>
  <si>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</si>
  <si>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</si>
  <si>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</si>
  <si>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</si>
  <si>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</si>
  <si>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</si>
  <si>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</si>
  <si>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</si>
  <si>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</si>
  <si>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</si>
  <si>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</si>
  <si>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</si>
  <si>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</si>
  <si>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</si>
  <si>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</si>
  <si>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</si>
  <si>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</si>
  <si>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</si>
  <si>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</si>
  <si>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</si>
  <si>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</si>
  <si>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</si>
  <si>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</si>
  <si>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</si>
  <si>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</si>
  <si>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</si>
  <si>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</si>
  <si>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</si>
  <si>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</si>
  <si>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</si>
  <si>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</si>
  <si>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</si>
  <si>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</si>
  <si>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</si>
  <si>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</si>
  <si>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</si>
  <si>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</si>
  <si>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</si>
  <si>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</si>
  <si>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</si>
  <si>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</si>
  <si>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</si>
  <si>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</si>
  <si>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</si>
  <si>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</si>
  <si>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</si>
  <si>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</si>
  <si>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</si>
  <si>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</si>
  <si>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</si>
  <si>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</si>
  <si>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</si>
  <si>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</si>
  <si>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</si>
  <si>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</si>
  <si>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</si>
  <si>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</si>
  <si>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</si>
  <si>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</si>
  <si>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</si>
  <si>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</si>
  <si>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</si>
  <si>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</si>
  <si>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</si>
  <si>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</si>
  <si>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</si>
  <si>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</si>
  <si>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</si>
  <si>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</si>
  <si>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</si>
  <si>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</si>
  <si>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</si>
  <si>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</si>
  <si>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</si>
  <si>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</si>
  <si>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</si>
  <si>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</si>
  <si>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</si>
  <si>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</si>
  <si>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</si>
  <si>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</si>
  <si>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</si>
  <si>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</si>
  <si>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</si>
  <si>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</si>
  <si>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</si>
  <si>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</si>
  <si>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</si>
  <si>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</si>
  <si>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</si>
  <si>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</si>
  <si>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</si>
  <si>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</si>
  <si>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</si>
  <si>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</si>
  <si>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</si>
  <si>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</si>
  <si>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</si>
  <si>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</si>
  <si>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</si>
  <si>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</si>
  <si>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</si>
  <si>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</si>
  <si>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</si>
  <si>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</si>
  <si>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</si>
  <si>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</si>
  <si>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</si>
  <si>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</si>
  <si>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</si>
  <si>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</si>
  <si>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</si>
  <si>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</si>
  <si>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</si>
  <si>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</si>
  <si>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</si>
  <si>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</si>
  <si>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</si>
  <si>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</si>
  <si>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</si>
  <si>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</si>
  <si>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</si>
  <si>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</si>
  <si>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</si>
  <si>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</si>
  <si>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</si>
  <si>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</si>
  <si>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</si>
  <si>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</si>
  <si>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</si>
  <si>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</si>
  <si>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</si>
  <si>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</si>
  <si>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</si>
  <si>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</si>
  <si>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</si>
  <si>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</si>
  <si>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</si>
  <si>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</si>
  <si>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</si>
  <si>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</si>
  <si>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</si>
  <si>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</si>
  <si>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</si>
  <si>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</si>
  <si>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</si>
  <si>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</si>
  <si>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</si>
  <si>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</si>
  <si>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</si>
  <si>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</si>
  <si>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</si>
  <si>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</si>
  <si>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</si>
  <si>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</si>
  <si>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</si>
  <si>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</si>
  <si>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</si>
  <si>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</si>
  <si>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</si>
  <si>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</si>
  <si>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</si>
  <si>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</si>
  <si>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</si>
  <si>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</si>
  <si>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</si>
  <si>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</si>
  <si>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</si>
  <si>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</si>
  <si>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</si>
  <si>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</si>
  <si>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</si>
  <si>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</si>
  <si>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</si>
  <si>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</si>
  <si>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</si>
  <si>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</si>
  <si>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</si>
  <si>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</si>
  <si>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</si>
  <si>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</si>
  <si>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</si>
  <si>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</si>
  <si>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</si>
  <si>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</si>
  <si>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</si>
  <si>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</si>
  <si>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</si>
  <si>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</si>
  <si>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</si>
  <si>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</si>
  <si>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</si>
  <si>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</si>
  <si>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</si>
  <si>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</si>
  <si>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</si>
  <si>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</si>
  <si>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</si>
  <si>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</si>
  <si>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</si>
  <si>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</si>
  <si>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</si>
  <si>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</si>
  <si>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</si>
  <si>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</si>
  <si>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</si>
  <si>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</si>
  <si>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</si>
  <si>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</si>
  <si>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</si>
  <si>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</si>
  <si>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</si>
  <si>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</si>
  <si>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</si>
  <si>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</si>
  <si>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</si>
  <si>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</si>
  <si>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</si>
  <si>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</si>
  <si>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</si>
  <si>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</si>
  <si>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</si>
  <si>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</si>
  <si>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</si>
  <si>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</si>
  <si>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</si>
  <si>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</si>
  <si>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</si>
  <si>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</si>
  <si>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</si>
  <si>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</si>
  <si>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</si>
  <si>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</si>
  <si>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</si>
  <si>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</si>
  <si>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</si>
  <si>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</si>
  <si>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</si>
  <si>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</si>
  <si>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</si>
  <si>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</si>
  <si>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</si>
  <si>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</si>
  <si>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</si>
  <si>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</si>
  <si>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</si>
  <si>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</si>
  <si>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</si>
  <si>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</si>
  <si>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</si>
  <si>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</si>
  <si>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</si>
  <si>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</si>
  <si>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</si>
  <si>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</si>
  <si>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</si>
  <si>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</si>
  <si>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</si>
  <si>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</si>
  <si>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</si>
  <si>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</si>
  <si>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</si>
  <si>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</si>
  <si>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</si>
  <si>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</si>
  <si>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</si>
  <si>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</si>
  <si>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</si>
  <si>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</si>
  <si>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</si>
  <si>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</si>
  <si>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</si>
  <si>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</si>
  <si>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</si>
  <si>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</si>
  <si>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</si>
  <si>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</si>
  <si>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</si>
  <si>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</si>
  <si>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</si>
  <si>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</si>
  <si>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</si>
  <si>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</si>
  <si>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</si>
  <si>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</si>
  <si>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</si>
  <si>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Goffstown</t>
  </si>
  <si>
    <t>08/03</t>
  </si>
  <si>
    <t>10/10</t>
  </si>
  <si>
    <t>08/11</t>
  </si>
  <si>
    <t>07/21</t>
  </si>
  <si>
    <t>Adequacy aid restated to reflect the amount received from EdJobs</t>
  </si>
  <si>
    <t>Entry amounts for High School level Special Education Transportation now agree. With 23-2</t>
  </si>
  <si>
    <t>Entry amounts for High School level Special Education Transportation now agree. With 21-19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</si>
</sst>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199</v>
      </c>
      <c r="C2" s="21">
        <v>199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75888163-71255008-1148383-904293+2588</f>
        <v>2583067</v>
      </c>
      <c r="G9" s="18">
        <f>504371-385034</f>
        <v>119337</v>
      </c>
      <c r="H9" s="18"/>
      <c r="I9" s="18">
        <f>229295-195512</f>
        <v>33783</v>
      </c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f>3937+13010.02</f>
        <v>16947.02</v>
      </c>
      <c r="H12" s="18"/>
      <c r="I12" s="18"/>
      <c r="J12" s="67">
        <f>SUM(I440)</f>
        <v>19139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121254+316851</f>
        <v>438105</v>
      </c>
      <c r="G13" s="18"/>
      <c r="H13" s="18">
        <v>449859</v>
      </c>
      <c r="I13" s="18"/>
      <c r="J13" s="67">
        <f>SUM(I441)</f>
        <v>349971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650</v>
      </c>
      <c r="G14" s="18"/>
      <c r="H14" s="18">
        <v>638</v>
      </c>
      <c r="I14" s="18"/>
      <c r="J14" s="67">
        <f>SUM(I442)</f>
        <v>5001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45864</v>
      </c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109524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3177210</v>
      </c>
      <c r="G19" s="41">
        <f>SUM(G9:G18)</f>
        <v>136284.01999999999</v>
      </c>
      <c r="H19" s="41">
        <f>SUM(H9:H18)</f>
        <v>450497</v>
      </c>
      <c r="I19" s="41">
        <f>SUM(I9:I18)</f>
        <v>33783</v>
      </c>
      <c r="J19" s="41">
        <f>SUM(J9:J18)</f>
        <v>374111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f>3595-2957</f>
        <v>638</v>
      </c>
      <c r="I23" s="18">
        <v>5001</v>
      </c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554424+106</f>
        <v>554530</v>
      </c>
      <c r="G24" s="18"/>
      <c r="H24" s="18"/>
      <c r="I24" s="18">
        <v>24000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13503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3114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f>373+14970</f>
        <v>15343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821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587311</v>
      </c>
      <c r="G32" s="41">
        <f>SUM(G22:G31)</f>
        <v>0</v>
      </c>
      <c r="H32" s="41">
        <f>SUM(H22:H31)</f>
        <v>638</v>
      </c>
      <c r="I32" s="41">
        <f>SUM(I22:I31)</f>
        <v>29001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45864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f>50803+2588</f>
        <v>53391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136284.01999999999</v>
      </c>
      <c r="H47" s="18">
        <v>449859</v>
      </c>
      <c r="I47" s="18">
        <v>4782</v>
      </c>
      <c r="J47" s="13">
        <f>SUM(I458)</f>
        <v>374111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1529963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132742+827939</f>
        <v>960681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2589899</v>
      </c>
      <c r="G50" s="41">
        <f>SUM(G35:G49)</f>
        <v>136284.01999999999</v>
      </c>
      <c r="H50" s="41">
        <f>SUM(H35:H49)</f>
        <v>449859</v>
      </c>
      <c r="I50" s="41">
        <f>SUM(I35:I49)</f>
        <v>4782</v>
      </c>
      <c r="J50" s="41">
        <f>SUM(J35:J49)</f>
        <v>374111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3177210</v>
      </c>
      <c r="G51" s="41">
        <f>G50+G32</f>
        <v>136284.01999999999</v>
      </c>
      <c r="H51" s="41">
        <f>H50+H32</f>
        <v>450497</v>
      </c>
      <c r="I51" s="41">
        <f>I50+I32</f>
        <v>33783</v>
      </c>
      <c r="J51" s="41">
        <f>J50+J32</f>
        <v>374111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14259654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14259654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27870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34085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6586065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407903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7055923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325</f>
        <v>325</v>
      </c>
      <c r="G95" s="18"/>
      <c r="H95" s="18"/>
      <c r="I95" s="18"/>
      <c r="J95" s="18">
        <v>249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24114+2465+1468+7291+77690+2918+967+5895+166513+13026+3940+74918+194609+3649+6051+203921</f>
        <v>789435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>
        <f>1424+28190</f>
        <v>29614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f>6969+425+5812</f>
        <v>13206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14121+150+200</f>
        <v>14471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1574</v>
      </c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1207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5556+24493</f>
        <v>30049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46361</v>
      </c>
      <c r="G110" s="41">
        <f>SUM(G95:G109)</f>
        <v>789435</v>
      </c>
      <c r="H110" s="41">
        <f>SUM(H95:H109)</f>
        <v>44085</v>
      </c>
      <c r="I110" s="41">
        <f>SUM(I95:I109)</f>
        <v>0</v>
      </c>
      <c r="J110" s="41">
        <f>SUM(J95:J109)</f>
        <v>249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21361938</v>
      </c>
      <c r="G111" s="41">
        <f>G59+G110</f>
        <v>789435</v>
      </c>
      <c r="H111" s="41">
        <f>H59+H78+H93+H110</f>
        <v>44085</v>
      </c>
      <c r="I111" s="41">
        <f>I59+I110</f>
        <v>0</v>
      </c>
      <c r="J111" s="41">
        <f>J59+J110</f>
        <v>249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7123509-6167</f>
        <v>7117342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3235678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6167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10359187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214035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388084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18850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11009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4500</v>
      </c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625469</v>
      </c>
      <c r="G135" s="41">
        <f>SUM(G122:G134)</f>
        <v>11009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10984656</v>
      </c>
      <c r="G139" s="41">
        <f>G120+SUM(G135:G136)</f>
        <v>11009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>
        <f>363+860</f>
        <v>1223</v>
      </c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298040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501343+7169+9035</f>
        <v>517547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22963+5286+6491+33722+3655+56948+9577+54407+4535</f>
        <v>197584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263410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f>222400</f>
        <v>222400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485810</v>
      </c>
      <c r="G161" s="41">
        <f>SUM(G149:G160)</f>
        <v>197584</v>
      </c>
      <c r="H161" s="41">
        <f>SUM(H149:H160)</f>
        <v>816810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>
        <v>377900</v>
      </c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>
        <f>5097+9618+17350+21196</f>
        <v>53261</v>
      </c>
      <c r="H167" s="18">
        <f>20+888</f>
        <v>908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485810</v>
      </c>
      <c r="G168" s="41">
        <f>G146+G161+SUM(G162:G167)</f>
        <v>250845</v>
      </c>
      <c r="H168" s="41">
        <f>H146+H161+SUM(H162:H167)</f>
        <v>817718</v>
      </c>
      <c r="I168" s="41">
        <f>I146+I161+SUM(I162:I167)</f>
        <v>377900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1800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1800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1800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32832404</v>
      </c>
      <c r="G192" s="47">
        <f>G111+G139+G168+G191</f>
        <v>1053089</v>
      </c>
      <c r="H192" s="47">
        <f>H111+H139+H168+H191</f>
        <v>861803</v>
      </c>
      <c r="I192" s="47">
        <f>I111+I139+I168+I191</f>
        <v>377900</v>
      </c>
      <c r="J192" s="47">
        <f>J111+J139+J191</f>
        <v>249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120801+2499745</f>
        <v>2620546</v>
      </c>
      <c r="G196" s="18">
        <f>27695+1167487</f>
        <v>1195182</v>
      </c>
      <c r="H196" s="18">
        <f>2080+75761</f>
        <v>77841</v>
      </c>
      <c r="I196" s="18">
        <f>3017+114608</f>
        <v>117625</v>
      </c>
      <c r="J196" s="18">
        <f>36481+56827</f>
        <v>93308</v>
      </c>
      <c r="K196" s="18"/>
      <c r="L196" s="19">
        <f>SUM(F196:K196)</f>
        <v>4104502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275466+36452+651880</f>
        <v>963798</v>
      </c>
      <c r="G197" s="18">
        <f>114349+18772+370589</f>
        <v>503710</v>
      </c>
      <c r="H197" s="18">
        <f>617415+1961</f>
        <v>619376</v>
      </c>
      <c r="I197" s="18">
        <v>9227</v>
      </c>
      <c r="J197" s="18">
        <v>9950</v>
      </c>
      <c r="K197" s="18"/>
      <c r="L197" s="19">
        <f>SUM(F197:K197)</f>
        <v>2106061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600</v>
      </c>
      <c r="G199" s="18">
        <v>53</v>
      </c>
      <c r="H199" s="18">
        <v>2000</v>
      </c>
      <c r="I199" s="18"/>
      <c r="J199" s="18"/>
      <c r="K199" s="18"/>
      <c r="L199" s="19">
        <f>SUM(F199:K199)</f>
        <v>2653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8154+410610</f>
        <v>418764</v>
      </c>
      <c r="G201" s="18">
        <f>172902+666</f>
        <v>173568</v>
      </c>
      <c r="H201" s="18">
        <v>1025</v>
      </c>
      <c r="I201" s="18">
        <v>7145</v>
      </c>
      <c r="J201" s="18"/>
      <c r="K201" s="18"/>
      <c r="L201" s="19">
        <f t="shared" ref="L201:L207" si="0">SUM(F201:K201)</f>
        <v>600502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112696+57564</f>
        <v>170260</v>
      </c>
      <c r="G202" s="18">
        <f>36593+21543</f>
        <v>58136</v>
      </c>
      <c r="H202" s="18">
        <f>4140+3345</f>
        <v>7485</v>
      </c>
      <c r="I202" s="18">
        <f>17200+14238</f>
        <v>31438</v>
      </c>
      <c r="J202" s="18">
        <v>11259</v>
      </c>
      <c r="K202" s="18"/>
      <c r="L202" s="19">
        <f t="shared" si="0"/>
        <v>278578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6264</v>
      </c>
      <c r="G203" s="18">
        <v>646</v>
      </c>
      <c r="H203" s="18">
        <v>332730</v>
      </c>
      <c r="I203" s="18">
        <f>581</f>
        <v>581</v>
      </c>
      <c r="J203" s="18"/>
      <c r="K203" s="18">
        <v>1782</v>
      </c>
      <c r="L203" s="19">
        <f t="shared" si="0"/>
        <v>342003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451542</v>
      </c>
      <c r="G204" s="18">
        <v>208862</v>
      </c>
      <c r="H204" s="18">
        <f>2419+32419</f>
        <v>34838</v>
      </c>
      <c r="I204" s="18">
        <v>2682</v>
      </c>
      <c r="J204" s="18">
        <v>3067</v>
      </c>
      <c r="K204" s="18">
        <v>700</v>
      </c>
      <c r="L204" s="19">
        <f t="shared" si="0"/>
        <v>701691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>
        <v>-8139</v>
      </c>
      <c r="L205" s="19">
        <f t="shared" si="0"/>
        <v>-8139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32512+146143</f>
        <v>178655</v>
      </c>
      <c r="G206" s="18">
        <f>11826+91490</f>
        <v>103316</v>
      </c>
      <c r="H206" s="18">
        <f>324443+33360</f>
        <v>357803</v>
      </c>
      <c r="I206" s="18">
        <f>168157+2173</f>
        <v>170330</v>
      </c>
      <c r="J206" s="18">
        <f>28748+8123</f>
        <v>36871</v>
      </c>
      <c r="K206" s="18"/>
      <c r="L206" s="19">
        <f t="shared" si="0"/>
        <v>846975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600062+1380</f>
        <v>601442</v>
      </c>
      <c r="I207" s="18"/>
      <c r="J207" s="18"/>
      <c r="K207" s="18"/>
      <c r="L207" s="19">
        <f t="shared" si="0"/>
        <v>601442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2510</v>
      </c>
      <c r="H208" s="18"/>
      <c r="I208" s="18"/>
      <c r="J208" s="18"/>
      <c r="K208" s="18"/>
      <c r="L208" s="19">
        <f>SUM(F208:K208)</f>
        <v>2510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4810429</v>
      </c>
      <c r="G210" s="41">
        <f t="shared" si="1"/>
        <v>2245983</v>
      </c>
      <c r="H210" s="41">
        <f t="shared" si="1"/>
        <v>2034540</v>
      </c>
      <c r="I210" s="41">
        <f t="shared" si="1"/>
        <v>339028</v>
      </c>
      <c r="J210" s="41">
        <f t="shared" si="1"/>
        <v>154455</v>
      </c>
      <c r="K210" s="41">
        <f t="shared" si="1"/>
        <v>-5657</v>
      </c>
      <c r="L210" s="41">
        <f t="shared" si="1"/>
        <v>9578778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2801590+128912</f>
        <v>2930502</v>
      </c>
      <c r="G214" s="18">
        <f>1256917+29555</f>
        <v>1286472</v>
      </c>
      <c r="H214" s="18">
        <f>149144+2219</f>
        <v>151363</v>
      </c>
      <c r="I214" s="18">
        <f>124265+3219</f>
        <v>127484</v>
      </c>
      <c r="J214" s="18">
        <f>83721+38931</f>
        <v>122652</v>
      </c>
      <c r="K214" s="18">
        <v>452</v>
      </c>
      <c r="L214" s="19">
        <f>SUM(F214:K214)</f>
        <v>4618925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137733+18226+873082</f>
        <v>1029041</v>
      </c>
      <c r="G215" s="18">
        <f>57175+9386+505449</f>
        <v>572010</v>
      </c>
      <c r="H215" s="18">
        <f>308708+2402</f>
        <v>311110</v>
      </c>
      <c r="I215" s="18">
        <v>14884</v>
      </c>
      <c r="J215" s="18">
        <f>10068</f>
        <v>10068</v>
      </c>
      <c r="K215" s="18"/>
      <c r="L215" s="19">
        <f>SUM(F215:K215)</f>
        <v>1937113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131697</v>
      </c>
      <c r="G217" s="18">
        <v>25624</v>
      </c>
      <c r="H217" s="18">
        <v>2442</v>
      </c>
      <c r="I217" s="18">
        <v>5105</v>
      </c>
      <c r="J217" s="18">
        <v>1031</v>
      </c>
      <c r="K217" s="18">
        <v>12895</v>
      </c>
      <c r="L217" s="19">
        <f>SUM(F217:K217)</f>
        <v>178794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273213+8701</f>
        <v>281914</v>
      </c>
      <c r="G219" s="18">
        <f>131389+711</f>
        <v>132100</v>
      </c>
      <c r="H219" s="18">
        <f>4515+1093</f>
        <v>5608</v>
      </c>
      <c r="I219" s="18">
        <f>5995+7624</f>
        <v>13619</v>
      </c>
      <c r="J219" s="18"/>
      <c r="K219" s="18"/>
      <c r="L219" s="19">
        <f t="shared" ref="L219:L225" si="2">SUM(F219:K219)</f>
        <v>433241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62747+28815</f>
        <v>91562</v>
      </c>
      <c r="G220" s="18">
        <f>31145+10777</f>
        <v>41922</v>
      </c>
      <c r="H220" s="18">
        <f>1674+3570</f>
        <v>5244</v>
      </c>
      <c r="I220" s="18">
        <v>13577</v>
      </c>
      <c r="J220" s="18">
        <v>258</v>
      </c>
      <c r="K220" s="18"/>
      <c r="L220" s="19">
        <f t="shared" si="2"/>
        <v>152563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6685</v>
      </c>
      <c r="G221" s="18">
        <v>643</v>
      </c>
      <c r="H221" s="18">
        <v>355072</v>
      </c>
      <c r="I221" s="18">
        <v>620</v>
      </c>
      <c r="J221" s="18"/>
      <c r="K221" s="18">
        <v>1902</v>
      </c>
      <c r="L221" s="19">
        <f t="shared" si="2"/>
        <v>364922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422202</v>
      </c>
      <c r="G222" s="18">
        <v>193006</v>
      </c>
      <c r="H222" s="18">
        <f>14346+2581</f>
        <v>16927</v>
      </c>
      <c r="I222" s="18">
        <v>4871</v>
      </c>
      <c r="J222" s="18"/>
      <c r="K222" s="18">
        <v>3788</v>
      </c>
      <c r="L222" s="19">
        <f t="shared" si="2"/>
        <v>640794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>
        <v>-8685</v>
      </c>
      <c r="L223" s="19">
        <f t="shared" si="2"/>
        <v>-8685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192888+34695</f>
        <v>227583</v>
      </c>
      <c r="G224" s="18">
        <f>101108+12621</f>
        <v>113729</v>
      </c>
      <c r="H224" s="18">
        <f>282067+35600</f>
        <v>317667</v>
      </c>
      <c r="I224" s="18">
        <f>187186+2319</f>
        <v>189505</v>
      </c>
      <c r="J224" s="18">
        <f>23434+8668</f>
        <v>32102</v>
      </c>
      <c r="K224" s="18"/>
      <c r="L224" s="19">
        <f t="shared" si="2"/>
        <v>880586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16243+471877</f>
        <v>488120</v>
      </c>
      <c r="I225" s="18"/>
      <c r="J225" s="18"/>
      <c r="K225" s="18"/>
      <c r="L225" s="19">
        <f t="shared" si="2"/>
        <v>488120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>
        <v>2678</v>
      </c>
      <c r="H226" s="18">
        <v>1430</v>
      </c>
      <c r="I226" s="18"/>
      <c r="J226" s="18"/>
      <c r="K226" s="18"/>
      <c r="L226" s="19">
        <f>SUM(F226:K226)</f>
        <v>4108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5121186</v>
      </c>
      <c r="G228" s="41">
        <f>SUM(G214:G227)</f>
        <v>2368184</v>
      </c>
      <c r="H228" s="41">
        <f>SUM(H214:H227)</f>
        <v>1654983</v>
      </c>
      <c r="I228" s="41">
        <f>SUM(I214:I227)</f>
        <v>369665</v>
      </c>
      <c r="J228" s="41">
        <f>SUM(J214:J227)</f>
        <v>166111</v>
      </c>
      <c r="K228" s="41">
        <f t="shared" si="3"/>
        <v>10352</v>
      </c>
      <c r="L228" s="41">
        <f t="shared" si="3"/>
        <v>9690481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4043613+169035</f>
        <v>4212648</v>
      </c>
      <c r="G232" s="18">
        <f>1902823+38754</f>
        <v>1941577</v>
      </c>
      <c r="H232" s="18">
        <f>186914+2910</f>
        <v>189824</v>
      </c>
      <c r="I232" s="18">
        <f>199818+4221</f>
        <v>204039</v>
      </c>
      <c r="J232" s="18">
        <f>169269+51048</f>
        <v>220317</v>
      </c>
      <c r="K232" s="18">
        <v>762</v>
      </c>
      <c r="L232" s="19">
        <f>SUM(F232:K232)</f>
        <v>6769167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137733+18226+1119044</f>
        <v>1275003</v>
      </c>
      <c r="G233" s="18">
        <f>57175+9386+548683</f>
        <v>615244</v>
      </c>
      <c r="H233" s="18">
        <v>308708</v>
      </c>
      <c r="I233" s="18">
        <v>14627</v>
      </c>
      <c r="J233" s="18">
        <v>2554</v>
      </c>
      <c r="K233" s="18"/>
      <c r="L233" s="19">
        <f>SUM(F233:K233)</f>
        <v>2216136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324066</v>
      </c>
      <c r="I234" s="18"/>
      <c r="J234" s="18"/>
      <c r="K234" s="18"/>
      <c r="L234" s="19">
        <f>SUM(F234:K234)</f>
        <v>324066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197545</v>
      </c>
      <c r="G235" s="18">
        <v>38436</v>
      </c>
      <c r="H235" s="18">
        <v>115227</v>
      </c>
      <c r="I235" s="18">
        <v>72791</v>
      </c>
      <c r="J235" s="18">
        <v>46729</v>
      </c>
      <c r="K235" s="18">
        <v>11529</v>
      </c>
      <c r="L235" s="19">
        <f>SUM(F235:K235)</f>
        <v>482257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586486+11410</f>
        <v>597896</v>
      </c>
      <c r="G237" s="18">
        <f>276046+933</f>
        <v>276979</v>
      </c>
      <c r="H237" s="18">
        <f>5590+1434</f>
        <v>7024</v>
      </c>
      <c r="I237" s="18">
        <f>15113+9997</f>
        <v>25110</v>
      </c>
      <c r="J237" s="18"/>
      <c r="K237" s="18">
        <v>898</v>
      </c>
      <c r="L237" s="19">
        <f t="shared" ref="L237:L243" si="4">SUM(F237:K237)</f>
        <v>907907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99433+28834</f>
        <v>128267</v>
      </c>
      <c r="G238" s="18">
        <f>51742+10781</f>
        <v>62523</v>
      </c>
      <c r="H238" s="18">
        <f>4681</f>
        <v>4681</v>
      </c>
      <c r="I238" s="18">
        <v>37971</v>
      </c>
      <c r="J238" s="18">
        <v>8866</v>
      </c>
      <c r="K238" s="18"/>
      <c r="L238" s="19">
        <f t="shared" si="4"/>
        <v>242308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8765</v>
      </c>
      <c r="G239" s="18">
        <v>830</v>
      </c>
      <c r="H239" s="18">
        <v>465583</v>
      </c>
      <c r="I239" s="18">
        <v>813</v>
      </c>
      <c r="J239" s="18"/>
      <c r="K239" s="18">
        <v>2494</v>
      </c>
      <c r="L239" s="19">
        <f t="shared" si="4"/>
        <v>478485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417125</v>
      </c>
      <c r="G240" s="18">
        <v>217501</v>
      </c>
      <c r="H240" s="18">
        <f>54934+3384</f>
        <v>58318</v>
      </c>
      <c r="I240" s="18">
        <v>5597</v>
      </c>
      <c r="J240" s="18">
        <v>219</v>
      </c>
      <c r="K240" s="18">
        <v>23285</v>
      </c>
      <c r="L240" s="19">
        <f t="shared" si="4"/>
        <v>722045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>
        <v>-11389</v>
      </c>
      <c r="L241" s="19">
        <f t="shared" si="4"/>
        <v>-11389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383337+45494</f>
        <v>428831</v>
      </c>
      <c r="G242" s="18">
        <f>186608+16549</f>
        <v>203157</v>
      </c>
      <c r="H242" s="18">
        <f>311808+46680</f>
        <v>358488</v>
      </c>
      <c r="I242" s="18">
        <f>287164+3041</f>
        <v>290205</v>
      </c>
      <c r="J242" s="18">
        <f>49186+11366</f>
        <v>60552</v>
      </c>
      <c r="K242" s="18"/>
      <c r="L242" s="19">
        <f t="shared" si="4"/>
        <v>1341233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107343+572513-2588</f>
        <v>677268</v>
      </c>
      <c r="I243" s="18"/>
      <c r="J243" s="18"/>
      <c r="K243" s="18"/>
      <c r="L243" s="19">
        <f t="shared" si="4"/>
        <v>677268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>
        <v>3512</v>
      </c>
      <c r="H244" s="18">
        <v>-1874</v>
      </c>
      <c r="I244" s="18"/>
      <c r="J244" s="18"/>
      <c r="K244" s="18"/>
      <c r="L244" s="19">
        <f>SUM(F244:K244)</f>
        <v>1638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7266080</v>
      </c>
      <c r="G246" s="41">
        <f t="shared" si="5"/>
        <v>3359759</v>
      </c>
      <c r="H246" s="41">
        <f t="shared" si="5"/>
        <v>2507313</v>
      </c>
      <c r="I246" s="41">
        <f t="shared" si="5"/>
        <v>651153</v>
      </c>
      <c r="J246" s="41">
        <f t="shared" si="5"/>
        <v>339237</v>
      </c>
      <c r="K246" s="41">
        <f t="shared" si="5"/>
        <v>27579</v>
      </c>
      <c r="L246" s="41">
        <f t="shared" si="5"/>
        <v>14151121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58820</v>
      </c>
      <c r="G250" s="18">
        <v>7192</v>
      </c>
      <c r="H250" s="18">
        <v>1375</v>
      </c>
      <c r="I250" s="18">
        <v>1348</v>
      </c>
      <c r="J250" s="18">
        <v>2538</v>
      </c>
      <c r="K250" s="18"/>
      <c r="L250" s="19">
        <f t="shared" si="6"/>
        <v>71273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58820</v>
      </c>
      <c r="G255" s="41">
        <f t="shared" si="7"/>
        <v>7192</v>
      </c>
      <c r="H255" s="41">
        <f t="shared" si="7"/>
        <v>1375</v>
      </c>
      <c r="I255" s="41">
        <f t="shared" si="7"/>
        <v>1348</v>
      </c>
      <c r="J255" s="41">
        <f t="shared" si="7"/>
        <v>2538</v>
      </c>
      <c r="K255" s="41">
        <f t="shared" si="7"/>
        <v>0</v>
      </c>
      <c r="L255" s="41">
        <f>SUM(F255:K255)</f>
        <v>71273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17256515</v>
      </c>
      <c r="G256" s="41">
        <f t="shared" si="8"/>
        <v>7981118</v>
      </c>
      <c r="H256" s="41">
        <f t="shared" si="8"/>
        <v>6198211</v>
      </c>
      <c r="I256" s="41">
        <f t="shared" si="8"/>
        <v>1361194</v>
      </c>
      <c r="J256" s="41">
        <f t="shared" si="8"/>
        <v>662341</v>
      </c>
      <c r="K256" s="41">
        <f t="shared" si="8"/>
        <v>32274</v>
      </c>
      <c r="L256" s="41">
        <f t="shared" si="8"/>
        <v>33491653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300000+650000</f>
        <v>950000</v>
      </c>
      <c r="L259" s="19">
        <f>SUM(F259:K259)</f>
        <v>950000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5250+217625</f>
        <v>222875</v>
      </c>
      <c r="L260" s="19">
        <f>SUM(F260:K260)</f>
        <v>222875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1800</v>
      </c>
      <c r="L262" s="19">
        <f>SUM(F262:K262)</f>
        <v>1800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1174675</v>
      </c>
      <c r="L269" s="41">
        <f t="shared" si="9"/>
        <v>1174675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17256515</v>
      </c>
      <c r="G270" s="42">
        <f t="shared" si="11"/>
        <v>7981118</v>
      </c>
      <c r="H270" s="42">
        <f t="shared" si="11"/>
        <v>6198211</v>
      </c>
      <c r="I270" s="42">
        <f t="shared" si="11"/>
        <v>1361194</v>
      </c>
      <c r="J270" s="42">
        <f t="shared" si="11"/>
        <v>662341</v>
      </c>
      <c r="K270" s="42">
        <f t="shared" si="11"/>
        <v>1206949</v>
      </c>
      <c r="L270" s="42">
        <f t="shared" si="11"/>
        <v>34666328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2400+1614.05+161320</f>
        <v>165334.04999999999</v>
      </c>
      <c r="G275" s="18">
        <f>466.79+642.14+68454</f>
        <v>69562.929999999993</v>
      </c>
      <c r="H275" s="18">
        <f>308+49168.34</f>
        <v>49476.34</v>
      </c>
      <c r="I275" s="18">
        <f>91+8802.97+0.47</f>
        <v>8894.4399999999987</v>
      </c>
      <c r="J275" s="18"/>
      <c r="K275" s="18"/>
      <c r="L275" s="19">
        <f>SUM(F275:K275)</f>
        <v>293267.75999999995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79262+7821.89</f>
        <v>87083.89</v>
      </c>
      <c r="G276" s="18">
        <f>16762+3614.87</f>
        <v>20376.87</v>
      </c>
      <c r="H276" s="18"/>
      <c r="I276" s="18"/>
      <c r="J276" s="18"/>
      <c r="K276" s="18"/>
      <c r="L276" s="19">
        <f>SUM(F276:K276)</f>
        <v>107460.76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56618.75+1006.19+2231</f>
        <v>59855.94</v>
      </c>
      <c r="G281" s="18">
        <f>10463.02+174.95+349</f>
        <v>10986.970000000001</v>
      </c>
      <c r="H281" s="18">
        <v>26772.49</v>
      </c>
      <c r="I281" s="18">
        <v>4295.32</v>
      </c>
      <c r="J281" s="18">
        <v>180.32</v>
      </c>
      <c r="K281" s="18"/>
      <c r="L281" s="19">
        <f t="shared" si="12"/>
        <v>102091.04000000001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1973.83</v>
      </c>
      <c r="L284" s="19">
        <f t="shared" si="12"/>
        <v>1973.83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312273.88</v>
      </c>
      <c r="G289" s="42">
        <f t="shared" si="13"/>
        <v>100926.76999999999</v>
      </c>
      <c r="H289" s="42">
        <f t="shared" si="13"/>
        <v>76248.83</v>
      </c>
      <c r="I289" s="42">
        <f t="shared" si="13"/>
        <v>13189.759999999998</v>
      </c>
      <c r="J289" s="42">
        <f t="shared" si="13"/>
        <v>180.32</v>
      </c>
      <c r="K289" s="42">
        <f t="shared" si="13"/>
        <v>1973.83</v>
      </c>
      <c r="L289" s="41">
        <f t="shared" si="13"/>
        <v>504793.38999999996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1722.43</v>
      </c>
      <c r="G294" s="18">
        <v>685.26</v>
      </c>
      <c r="H294" s="18"/>
      <c r="I294" s="18"/>
      <c r="J294" s="18"/>
      <c r="K294" s="18"/>
      <c r="L294" s="19">
        <f>SUM(F294:K294)</f>
        <v>2407.69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136696+8347.1</f>
        <v>145043.1</v>
      </c>
      <c r="G295" s="18">
        <f>3857.59+485.27+69532</f>
        <v>73874.86</v>
      </c>
      <c r="H295" s="18">
        <v>200.9</v>
      </c>
      <c r="I295" s="18"/>
      <c r="J295" s="18"/>
      <c r="K295" s="18"/>
      <c r="L295" s="19">
        <f>SUM(F295:K295)</f>
        <v>219118.86000000002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3701</v>
      </c>
      <c r="G297" s="18"/>
      <c r="H297" s="18"/>
      <c r="I297" s="18"/>
      <c r="J297" s="18"/>
      <c r="K297" s="18"/>
      <c r="L297" s="19">
        <f>SUM(F297:K297)</f>
        <v>3701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1073.76</v>
      </c>
      <c r="G300" s="18">
        <v>186.7</v>
      </c>
      <c r="H300" s="18">
        <v>10194.82</v>
      </c>
      <c r="I300" s="18">
        <v>4583.7299999999996</v>
      </c>
      <c r="J300" s="18">
        <v>192.43</v>
      </c>
      <c r="K300" s="18"/>
      <c r="L300" s="19">
        <f t="shared" si="14"/>
        <v>16231.439999999999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>
        <v>2106.36</v>
      </c>
      <c r="L303" s="19">
        <f t="shared" si="14"/>
        <v>2106.36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>
        <v>1875</v>
      </c>
      <c r="I304" s="18"/>
      <c r="J304" s="18"/>
      <c r="K304" s="18"/>
      <c r="L304" s="19">
        <f t="shared" si="14"/>
        <v>1875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151540.29</v>
      </c>
      <c r="G308" s="42">
        <f t="shared" si="15"/>
        <v>74746.819999999992</v>
      </c>
      <c r="H308" s="42">
        <f t="shared" si="15"/>
        <v>12270.72</v>
      </c>
      <c r="I308" s="42">
        <f t="shared" si="15"/>
        <v>4583.7299999999996</v>
      </c>
      <c r="J308" s="42">
        <f t="shared" si="15"/>
        <v>192.43</v>
      </c>
      <c r="K308" s="42">
        <f t="shared" si="15"/>
        <v>2106.36</v>
      </c>
      <c r="L308" s="41">
        <f t="shared" si="15"/>
        <v>245440.35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2258.5100000000002</v>
      </c>
      <c r="G313" s="18">
        <v>898.54</v>
      </c>
      <c r="H313" s="18"/>
      <c r="I313" s="18"/>
      <c r="J313" s="18"/>
      <c r="K313" s="18"/>
      <c r="L313" s="19">
        <f>SUM(F313:K313)</f>
        <v>3157.05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10945.01</v>
      </c>
      <c r="G314" s="18">
        <f>5058.21+1188.07</f>
        <v>6246.28</v>
      </c>
      <c r="H314" s="18">
        <v>491.87</v>
      </c>
      <c r="I314" s="18"/>
      <c r="J314" s="18"/>
      <c r="K314" s="18"/>
      <c r="L314" s="19">
        <f>SUM(F314:K314)</f>
        <v>17683.16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1407.95</v>
      </c>
      <c r="G319" s="18">
        <v>244.81</v>
      </c>
      <c r="H319" s="18">
        <v>10194.82</v>
      </c>
      <c r="I319" s="18">
        <v>6010.35</v>
      </c>
      <c r="J319" s="18">
        <v>252.32</v>
      </c>
      <c r="K319" s="18"/>
      <c r="L319" s="19">
        <f t="shared" si="16"/>
        <v>18110.25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>
        <v>2761.94</v>
      </c>
      <c r="L322" s="19">
        <f t="shared" si="16"/>
        <v>2761.94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14611.470000000001</v>
      </c>
      <c r="G327" s="42">
        <f t="shared" si="17"/>
        <v>7389.63</v>
      </c>
      <c r="H327" s="42">
        <f t="shared" si="17"/>
        <v>10686.69</v>
      </c>
      <c r="I327" s="42">
        <f t="shared" si="17"/>
        <v>6010.35</v>
      </c>
      <c r="J327" s="42">
        <f t="shared" si="17"/>
        <v>252.32</v>
      </c>
      <c r="K327" s="42">
        <f t="shared" si="17"/>
        <v>2761.94</v>
      </c>
      <c r="L327" s="41">
        <f t="shared" si="17"/>
        <v>41712.400000000001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f>16150+1197</f>
        <v>17347</v>
      </c>
      <c r="G334" s="18">
        <f>2541+227</f>
        <v>2768</v>
      </c>
      <c r="H334" s="18">
        <v>1200</v>
      </c>
      <c r="I334" s="18"/>
      <c r="J334" s="18"/>
      <c r="K334" s="18"/>
      <c r="L334" s="19">
        <f t="shared" si="18"/>
        <v>21315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17347</v>
      </c>
      <c r="G336" s="41">
        <f t="shared" si="19"/>
        <v>2768</v>
      </c>
      <c r="H336" s="41">
        <f t="shared" si="19"/>
        <v>1200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21315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495772.64</v>
      </c>
      <c r="G337" s="41">
        <f t="shared" si="20"/>
        <v>185831.21999999997</v>
      </c>
      <c r="H337" s="41">
        <f t="shared" si="20"/>
        <v>100406.24</v>
      </c>
      <c r="I337" s="41">
        <f t="shared" si="20"/>
        <v>23783.839999999997</v>
      </c>
      <c r="J337" s="41">
        <f t="shared" si="20"/>
        <v>625.06999999999994</v>
      </c>
      <c r="K337" s="41">
        <f t="shared" si="20"/>
        <v>6842.13</v>
      </c>
      <c r="L337" s="41">
        <f t="shared" si="20"/>
        <v>813261.14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186.86</v>
      </c>
      <c r="L343" s="19">
        <f t="shared" ref="L343:L349" si="21">SUM(F343:K343)</f>
        <v>186.86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186.86</v>
      </c>
      <c r="L350" s="41">
        <f>SUM(L340:L349)</f>
        <v>186.86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495772.64</v>
      </c>
      <c r="G351" s="41">
        <f>G337</f>
        <v>185831.21999999997</v>
      </c>
      <c r="H351" s="41">
        <f>H337</f>
        <v>100406.24</v>
      </c>
      <c r="I351" s="41">
        <f>I337</f>
        <v>23783.839999999997</v>
      </c>
      <c r="J351" s="41">
        <f>J337</f>
        <v>625.06999999999994</v>
      </c>
      <c r="K351" s="47">
        <f>K337+K350</f>
        <v>7028.99</v>
      </c>
      <c r="L351" s="41">
        <f>L337+L350</f>
        <v>813448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82751+16601.37</f>
        <v>99352.37</v>
      </c>
      <c r="G357" s="18">
        <f>21076+9526.82</f>
        <v>30602.82</v>
      </c>
      <c r="H357" s="18">
        <f>5471+876.15</f>
        <v>6347.15</v>
      </c>
      <c r="I357" s="18">
        <f>109501+275.83</f>
        <v>109776.83</v>
      </c>
      <c r="J357" s="18"/>
      <c r="K357" s="18">
        <f>67+268.94</f>
        <v>335.94</v>
      </c>
      <c r="L357" s="13">
        <f>SUM(F357:K357)</f>
        <v>246415.11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93876+17716.09</f>
        <v>111592.09</v>
      </c>
      <c r="G358" s="18">
        <f>38049+10166.51</f>
        <v>48215.51</v>
      </c>
      <c r="H358" s="18">
        <f>9230+934.98</f>
        <v>10164.98</v>
      </c>
      <c r="I358" s="18">
        <f>156779+294.36</f>
        <v>157073.35999999999</v>
      </c>
      <c r="J358" s="18">
        <f>6820</f>
        <v>6820</v>
      </c>
      <c r="K358" s="18">
        <v>286.99</v>
      </c>
      <c r="L358" s="19">
        <f>SUM(F358:K358)</f>
        <v>334152.93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112550+23229.98</f>
        <v>135779.98000000001</v>
      </c>
      <c r="G359" s="18">
        <f>46650+13330.69</f>
        <v>59980.69</v>
      </c>
      <c r="H359" s="18">
        <f>11841+1225.98</f>
        <v>13066.98</v>
      </c>
      <c r="I359" s="18">
        <f>250538+385.97</f>
        <v>250923.97</v>
      </c>
      <c r="J359" s="18"/>
      <c r="K359" s="18">
        <f>33+376.32</f>
        <v>409.32</v>
      </c>
      <c r="L359" s="19">
        <f>SUM(F359:K359)</f>
        <v>460160.94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346724.44</v>
      </c>
      <c r="G361" s="47">
        <f t="shared" si="22"/>
        <v>138799.02000000002</v>
      </c>
      <c r="H361" s="47">
        <f t="shared" si="22"/>
        <v>29579.109999999997</v>
      </c>
      <c r="I361" s="47">
        <f t="shared" si="22"/>
        <v>517774.16000000003</v>
      </c>
      <c r="J361" s="47">
        <f t="shared" si="22"/>
        <v>6820</v>
      </c>
      <c r="K361" s="47">
        <f t="shared" si="22"/>
        <v>1032.25</v>
      </c>
      <c r="L361" s="47">
        <f t="shared" si="22"/>
        <v>1040728.98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102759</v>
      </c>
      <c r="G366" s="18">
        <v>144327</v>
      </c>
      <c r="H366" s="18">
        <v>236630</v>
      </c>
      <c r="I366" s="56">
        <f>SUM(F366:H366)</f>
        <v>483716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I357-F366</f>
        <v>7017.8300000000017</v>
      </c>
      <c r="G367" s="63">
        <f>I358-G366</f>
        <v>12746.359999999986</v>
      </c>
      <c r="H367" s="63">
        <f>I359-H366</f>
        <v>14293.970000000001</v>
      </c>
      <c r="I367" s="56">
        <f>SUM(F367:H367)</f>
        <v>34058.159999999989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109776.83</v>
      </c>
      <c r="G368" s="47">
        <f>SUM(G366:G367)</f>
        <v>157073.35999999999</v>
      </c>
      <c r="H368" s="47">
        <f>SUM(H366:H367)</f>
        <v>250923.97</v>
      </c>
      <c r="I368" s="47">
        <f>SUM(I366:I367)</f>
        <v>517774.16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v>373118</v>
      </c>
      <c r="I377" s="18"/>
      <c r="J377" s="18"/>
      <c r="K377" s="18"/>
      <c r="L377" s="13">
        <f t="shared" si="23"/>
        <v>373118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373118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373118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249</v>
      </c>
      <c r="I388" s="18"/>
      <c r="J388" s="24" t="s">
        <v>289</v>
      </c>
      <c r="K388" s="24" t="s">
        <v>289</v>
      </c>
      <c r="L388" s="56">
        <f t="shared" si="25"/>
        <v>249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249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249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249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249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19139</v>
      </c>
      <c r="G440" s="18"/>
      <c r="H440" s="18"/>
      <c r="I440" s="56">
        <f t="shared" si="33"/>
        <v>19139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349971</v>
      </c>
      <c r="G441" s="18"/>
      <c r="H441" s="18"/>
      <c r="I441" s="56">
        <f t="shared" si="33"/>
        <v>349971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5001</v>
      </c>
      <c r="G442" s="18"/>
      <c r="H442" s="18"/>
      <c r="I442" s="56">
        <f t="shared" si="33"/>
        <v>5001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374111</v>
      </c>
      <c r="G445" s="13">
        <f>SUM(G438:G444)</f>
        <v>0</v>
      </c>
      <c r="H445" s="13">
        <f>SUM(H438:H444)</f>
        <v>0</v>
      </c>
      <c r="I445" s="13">
        <f>SUM(I438:I444)</f>
        <v>374111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374111</v>
      </c>
      <c r="G458" s="18"/>
      <c r="H458" s="18"/>
      <c r="I458" s="56">
        <f t="shared" si="34"/>
        <v>374111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374111</v>
      </c>
      <c r="G459" s="83">
        <f>SUM(G453:G458)</f>
        <v>0</v>
      </c>
      <c r="H459" s="83">
        <f>SUM(H453:H458)</f>
        <v>0</v>
      </c>
      <c r="I459" s="83">
        <f>SUM(I453:I458)</f>
        <v>374111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374111</v>
      </c>
      <c r="G460" s="42">
        <f>G451+G459</f>
        <v>0</v>
      </c>
      <c r="H460" s="42">
        <f>H451+H459</f>
        <v>0</v>
      </c>
      <c r="I460" s="42">
        <f>I451+I459</f>
        <v>374111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4423823</v>
      </c>
      <c r="G464" s="18">
        <v>123924</v>
      </c>
      <c r="H464" s="18">
        <v>401504</v>
      </c>
      <c r="I464" s="18"/>
      <c r="J464" s="18">
        <v>373862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32832404</v>
      </c>
      <c r="G467" s="18">
        <f>G192</f>
        <v>1053089</v>
      </c>
      <c r="H467" s="18">
        <f>H192</f>
        <v>861803</v>
      </c>
      <c r="I467" s="18">
        <f>I192</f>
        <v>377900</v>
      </c>
      <c r="J467" s="18">
        <v>249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32832404</v>
      </c>
      <c r="G469" s="53">
        <f>SUM(G467:G468)</f>
        <v>1053089</v>
      </c>
      <c r="H469" s="53">
        <f>SUM(H467:H468)</f>
        <v>861803</v>
      </c>
      <c r="I469" s="53">
        <f>SUM(I467:I468)</f>
        <v>377900</v>
      </c>
      <c r="J469" s="53">
        <f>SUM(J467:J468)</f>
        <v>249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34666328</v>
      </c>
      <c r="G471" s="18">
        <f>L361</f>
        <v>1040728.98</v>
      </c>
      <c r="H471" s="18">
        <f>L351</f>
        <v>813448</v>
      </c>
      <c r="I471" s="18">
        <v>373118</v>
      </c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34666328</v>
      </c>
      <c r="G473" s="53">
        <f>SUM(G471:G472)</f>
        <v>1040728.98</v>
      </c>
      <c r="H473" s="53">
        <f>SUM(H471:H472)</f>
        <v>813448</v>
      </c>
      <c r="I473" s="53">
        <f>SUM(I471:I472)</f>
        <v>373118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2589899</v>
      </c>
      <c r="G475" s="53">
        <f>(G464+G469)- G473</f>
        <v>136284.02000000002</v>
      </c>
      <c r="H475" s="53">
        <f>(H464+H469)- H473</f>
        <v>449859</v>
      </c>
      <c r="I475" s="53">
        <f>(I464+I469)- I473</f>
        <v>4782</v>
      </c>
      <c r="J475" s="53">
        <f>(J464+J469)- J473</f>
        <v>374111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8</v>
      </c>
      <c r="G489" s="154">
        <v>10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911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 t="s">
        <v>913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5166775</v>
      </c>
      <c r="G492" s="18">
        <v>6015000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2.89</v>
      </c>
      <c r="G493" s="18">
        <v>3.68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300000</v>
      </c>
      <c r="G494" s="18">
        <v>6015000</v>
      </c>
      <c r="H494" s="18"/>
      <c r="I494" s="18"/>
      <c r="J494" s="18"/>
      <c r="K494" s="53">
        <f>SUM(F494:J494)</f>
        <v>6315000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300000</v>
      </c>
      <c r="G496" s="18">
        <v>650000</v>
      </c>
      <c r="H496" s="18"/>
      <c r="I496" s="18"/>
      <c r="J496" s="18"/>
      <c r="K496" s="53">
        <f t="shared" si="35"/>
        <v>950000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0</v>
      </c>
      <c r="G497" s="205">
        <v>5635000</v>
      </c>
      <c r="H497" s="205"/>
      <c r="I497" s="205"/>
      <c r="J497" s="205"/>
      <c r="K497" s="206">
        <f t="shared" si="35"/>
        <v>5635000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v>1117281</v>
      </c>
      <c r="H498" s="18"/>
      <c r="I498" s="18"/>
      <c r="J498" s="18"/>
      <c r="K498" s="53">
        <f t="shared" si="35"/>
        <v>1117281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6752281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6752281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0</v>
      </c>
      <c r="G500" s="205">
        <v>640000</v>
      </c>
      <c r="H500" s="205"/>
      <c r="I500" s="205"/>
      <c r="J500" s="205"/>
      <c r="K500" s="206">
        <f t="shared" si="35"/>
        <v>640000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>
        <v>197100</v>
      </c>
      <c r="H501" s="18"/>
      <c r="I501" s="18"/>
      <c r="J501" s="18"/>
      <c r="K501" s="53">
        <f t="shared" si="35"/>
        <v>197100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837100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837100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F197+F275</f>
        <v>1129132.05</v>
      </c>
      <c r="G520" s="18">
        <f t="shared" ref="G520:K520" si="36">G197+G275</f>
        <v>573272.92999999993</v>
      </c>
      <c r="H520" s="18">
        <f t="shared" si="36"/>
        <v>668852.34</v>
      </c>
      <c r="I520" s="18">
        <f t="shared" si="36"/>
        <v>18121.439999999999</v>
      </c>
      <c r="J520" s="18">
        <f t="shared" si="36"/>
        <v>9950</v>
      </c>
      <c r="K520" s="18">
        <f t="shared" si="36"/>
        <v>0</v>
      </c>
      <c r="L520" s="88">
        <f>SUM(F520:K520)</f>
        <v>2399328.7599999998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F215+F295</f>
        <v>1174084.1000000001</v>
      </c>
      <c r="G521" s="18">
        <f t="shared" ref="G521:K521" si="37">G215+G295</f>
        <v>645884.86</v>
      </c>
      <c r="H521" s="18">
        <f t="shared" si="37"/>
        <v>311310.90000000002</v>
      </c>
      <c r="I521" s="18">
        <f t="shared" si="37"/>
        <v>14884</v>
      </c>
      <c r="J521" s="18">
        <f t="shared" si="37"/>
        <v>10068</v>
      </c>
      <c r="K521" s="18">
        <f t="shared" si="37"/>
        <v>0</v>
      </c>
      <c r="L521" s="88">
        <f>SUM(F521:K521)</f>
        <v>2156231.86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F233+F314</f>
        <v>1285948.01</v>
      </c>
      <c r="G522" s="18">
        <f t="shared" ref="G522:K522" si="38">G233+G314</f>
        <v>621490.28</v>
      </c>
      <c r="H522" s="18">
        <f t="shared" si="38"/>
        <v>309199.87</v>
      </c>
      <c r="I522" s="18">
        <f t="shared" si="38"/>
        <v>14627</v>
      </c>
      <c r="J522" s="18">
        <f t="shared" si="38"/>
        <v>2554</v>
      </c>
      <c r="K522" s="18">
        <f t="shared" si="38"/>
        <v>0</v>
      </c>
      <c r="L522" s="88">
        <f>SUM(F522:K522)</f>
        <v>2233819.16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3589164.16</v>
      </c>
      <c r="G523" s="108">
        <f t="shared" ref="G523:L523" si="39">SUM(G520:G522)</f>
        <v>1840648.07</v>
      </c>
      <c r="H523" s="108">
        <f t="shared" si="39"/>
        <v>1289363.1099999999</v>
      </c>
      <c r="I523" s="108">
        <f t="shared" si="39"/>
        <v>47632.44</v>
      </c>
      <c r="J523" s="108">
        <f t="shared" si="39"/>
        <v>22572</v>
      </c>
      <c r="K523" s="108">
        <f t="shared" si="39"/>
        <v>0</v>
      </c>
      <c r="L523" s="89">
        <f t="shared" si="39"/>
        <v>6789379.7799999993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140798.24</v>
      </c>
      <c r="G525" s="18">
        <v>58725.26</v>
      </c>
      <c r="H525" s="18"/>
      <c r="I525" s="18"/>
      <c r="J525" s="18"/>
      <c r="K525" s="18"/>
      <c r="L525" s="88">
        <f>SUM(F525:K525)</f>
        <v>199523.5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70701.490000000005</v>
      </c>
      <c r="G526" s="18">
        <v>31033</v>
      </c>
      <c r="H526" s="18"/>
      <c r="I526" s="18"/>
      <c r="J526" s="18"/>
      <c r="K526" s="18"/>
      <c r="L526" s="88">
        <f>SUM(F526:K526)</f>
        <v>101734.49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76468</v>
      </c>
      <c r="G527" s="18">
        <v>13944</v>
      </c>
      <c r="H527" s="18"/>
      <c r="I527" s="18"/>
      <c r="J527" s="18"/>
      <c r="K527" s="18"/>
      <c r="L527" s="88">
        <f>SUM(F527:K527)</f>
        <v>90412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287967.73</v>
      </c>
      <c r="G528" s="89">
        <f t="shared" ref="G528:L528" si="40">SUM(G525:G527)</f>
        <v>103702.26000000001</v>
      </c>
      <c r="H528" s="89">
        <f t="shared" si="40"/>
        <v>0</v>
      </c>
      <c r="I528" s="89">
        <f t="shared" si="40"/>
        <v>0</v>
      </c>
      <c r="J528" s="89">
        <f t="shared" si="40"/>
        <v>0</v>
      </c>
      <c r="K528" s="89">
        <f t="shared" si="40"/>
        <v>0</v>
      </c>
      <c r="L528" s="89">
        <f t="shared" si="40"/>
        <v>391669.99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24840</v>
      </c>
      <c r="G530" s="18">
        <v>9522</v>
      </c>
      <c r="H530" s="18"/>
      <c r="I530" s="18"/>
      <c r="J530" s="18"/>
      <c r="K530" s="18"/>
      <c r="L530" s="88">
        <f>SUM(F530:K530)</f>
        <v>34362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24790</v>
      </c>
      <c r="G531" s="18">
        <v>6938</v>
      </c>
      <c r="H531" s="18"/>
      <c r="I531" s="18"/>
      <c r="J531" s="18"/>
      <c r="K531" s="18"/>
      <c r="L531" s="88">
        <f>SUM(F531:K531)</f>
        <v>31728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31056</v>
      </c>
      <c r="G532" s="18">
        <v>8821</v>
      </c>
      <c r="H532" s="18"/>
      <c r="I532" s="18"/>
      <c r="J532" s="18"/>
      <c r="K532" s="18"/>
      <c r="L532" s="88">
        <f>SUM(F532:K532)</f>
        <v>39877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80686</v>
      </c>
      <c r="G533" s="89">
        <f t="shared" ref="G533:L533" si="41">SUM(G530:G532)</f>
        <v>25281</v>
      </c>
      <c r="H533" s="89">
        <f t="shared" si="41"/>
        <v>0</v>
      </c>
      <c r="I533" s="89">
        <f t="shared" si="41"/>
        <v>0</v>
      </c>
      <c r="J533" s="89">
        <f t="shared" si="41"/>
        <v>0</v>
      </c>
      <c r="K533" s="89">
        <f t="shared" si="41"/>
        <v>0</v>
      </c>
      <c r="L533" s="89">
        <f t="shared" si="41"/>
        <v>105967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1060</v>
      </c>
      <c r="I535" s="18"/>
      <c r="J535" s="18"/>
      <c r="K535" s="18"/>
      <c r="L535" s="88">
        <f>SUM(F535:K535)</f>
        <v>1060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2">SUM(G535:G537)</f>
        <v>0</v>
      </c>
      <c r="H538" s="89">
        <f t="shared" si="42"/>
        <v>1060</v>
      </c>
      <c r="I538" s="89">
        <f t="shared" si="42"/>
        <v>0</v>
      </c>
      <c r="J538" s="89">
        <f t="shared" si="42"/>
        <v>0</v>
      </c>
      <c r="K538" s="89">
        <f t="shared" si="42"/>
        <v>0</v>
      </c>
      <c r="L538" s="89">
        <f t="shared" si="42"/>
        <v>1060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297063</v>
      </c>
      <c r="I540" s="18"/>
      <c r="J540" s="18"/>
      <c r="K540" s="18"/>
      <c r="L540" s="88">
        <f>SUM(F540:K540)</f>
        <v>297063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148532</v>
      </c>
      <c r="I541" s="18"/>
      <c r="J541" s="18"/>
      <c r="K541" s="18"/>
      <c r="L541" s="88">
        <f>SUM(F541:K541)</f>
        <v>148532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148532</v>
      </c>
      <c r="I542" s="18"/>
      <c r="J542" s="18"/>
      <c r="K542" s="18"/>
      <c r="L542" s="88">
        <f>SUM(F542:K542)</f>
        <v>148532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3">SUM(G540:G542)</f>
        <v>0</v>
      </c>
      <c r="H543" s="194">
        <f t="shared" si="43"/>
        <v>594127</v>
      </c>
      <c r="I543" s="194">
        <f t="shared" si="43"/>
        <v>0</v>
      </c>
      <c r="J543" s="194">
        <f t="shared" si="43"/>
        <v>0</v>
      </c>
      <c r="K543" s="194">
        <f t="shared" si="43"/>
        <v>0</v>
      </c>
      <c r="L543" s="194">
        <f t="shared" si="43"/>
        <v>594127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3957817.89</v>
      </c>
      <c r="G544" s="89">
        <f t="shared" ref="G544:L544" si="44">G523+G528+G533+G538+G543</f>
        <v>1969631.33</v>
      </c>
      <c r="H544" s="89">
        <f t="shared" si="44"/>
        <v>1884550.1099999999</v>
      </c>
      <c r="I544" s="89">
        <f t="shared" si="44"/>
        <v>47632.44</v>
      </c>
      <c r="J544" s="89">
        <f t="shared" si="44"/>
        <v>22572</v>
      </c>
      <c r="K544" s="89">
        <f t="shared" si="44"/>
        <v>0</v>
      </c>
      <c r="L544" s="89">
        <f t="shared" si="44"/>
        <v>7882203.7699999996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2399328.7599999998</v>
      </c>
      <c r="G548" s="87">
        <f>L525</f>
        <v>199523.5</v>
      </c>
      <c r="H548" s="87">
        <f>L530</f>
        <v>34362</v>
      </c>
      <c r="I548" s="87">
        <f>L535</f>
        <v>1060</v>
      </c>
      <c r="J548" s="87">
        <f>L540</f>
        <v>297063</v>
      </c>
      <c r="K548" s="87">
        <f>SUM(F548:J548)</f>
        <v>2931337.26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2156231.86</v>
      </c>
      <c r="G549" s="87">
        <f>L526</f>
        <v>101734.49</v>
      </c>
      <c r="H549" s="87">
        <f>L531</f>
        <v>31728</v>
      </c>
      <c r="I549" s="87">
        <f>L536</f>
        <v>0</v>
      </c>
      <c r="J549" s="87">
        <f>L541</f>
        <v>148532</v>
      </c>
      <c r="K549" s="87">
        <f>SUM(F549:J549)</f>
        <v>2438226.35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2233819.16</v>
      </c>
      <c r="G550" s="87">
        <f>L527</f>
        <v>90412</v>
      </c>
      <c r="H550" s="87">
        <f>L532</f>
        <v>39877</v>
      </c>
      <c r="I550" s="87">
        <f>L537</f>
        <v>0</v>
      </c>
      <c r="J550" s="87">
        <f>L542</f>
        <v>148532</v>
      </c>
      <c r="K550" s="87">
        <f>SUM(F550:J550)</f>
        <v>2512640.16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5">SUM(F548:F550)</f>
        <v>6789379.7799999993</v>
      </c>
      <c r="G551" s="89">
        <f t="shared" si="45"/>
        <v>391669.99</v>
      </c>
      <c r="H551" s="89">
        <f t="shared" si="45"/>
        <v>105967</v>
      </c>
      <c r="I551" s="89">
        <f t="shared" si="45"/>
        <v>1060</v>
      </c>
      <c r="J551" s="89">
        <f t="shared" si="45"/>
        <v>594127</v>
      </c>
      <c r="K551" s="89">
        <f t="shared" si="45"/>
        <v>7882203.7699999996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6">SUM(F556:F558)</f>
        <v>0</v>
      </c>
      <c r="G559" s="108">
        <f t="shared" si="46"/>
        <v>0</v>
      </c>
      <c r="H559" s="108">
        <f t="shared" si="46"/>
        <v>0</v>
      </c>
      <c r="I559" s="108">
        <f t="shared" si="46"/>
        <v>0</v>
      </c>
      <c r="J559" s="108">
        <f t="shared" si="46"/>
        <v>0</v>
      </c>
      <c r="K559" s="108">
        <f t="shared" si="46"/>
        <v>0</v>
      </c>
      <c r="L559" s="89">
        <f t="shared" si="46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36452</v>
      </c>
      <c r="G561" s="18">
        <v>18772</v>
      </c>
      <c r="H561" s="18"/>
      <c r="I561" s="18"/>
      <c r="J561" s="18"/>
      <c r="K561" s="18"/>
      <c r="L561" s="88">
        <f>SUM(F561:K561)</f>
        <v>55224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18226</v>
      </c>
      <c r="G562" s="18">
        <v>9386</v>
      </c>
      <c r="H562" s="18"/>
      <c r="I562" s="18"/>
      <c r="J562" s="18"/>
      <c r="K562" s="18"/>
      <c r="L562" s="88">
        <f>SUM(F562:K562)</f>
        <v>27612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18226</v>
      </c>
      <c r="G563" s="18">
        <v>9386</v>
      </c>
      <c r="H563" s="18"/>
      <c r="I563" s="18"/>
      <c r="J563" s="18"/>
      <c r="K563" s="18"/>
      <c r="L563" s="88">
        <f>SUM(F563:K563)</f>
        <v>27612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7">SUM(F561:F563)</f>
        <v>72904</v>
      </c>
      <c r="G564" s="89">
        <f t="shared" si="47"/>
        <v>37544</v>
      </c>
      <c r="H564" s="89">
        <f t="shared" si="47"/>
        <v>0</v>
      </c>
      <c r="I564" s="89">
        <f t="shared" si="47"/>
        <v>0</v>
      </c>
      <c r="J564" s="89">
        <f t="shared" si="47"/>
        <v>0</v>
      </c>
      <c r="K564" s="89">
        <f t="shared" si="47"/>
        <v>0</v>
      </c>
      <c r="L564" s="89">
        <f t="shared" si="47"/>
        <v>110448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8">SUM(G566:G568)</f>
        <v>0</v>
      </c>
      <c r="H569" s="194">
        <f t="shared" si="48"/>
        <v>0</v>
      </c>
      <c r="I569" s="194">
        <f t="shared" si="48"/>
        <v>0</v>
      </c>
      <c r="J569" s="194">
        <f t="shared" si="48"/>
        <v>0</v>
      </c>
      <c r="K569" s="194">
        <f t="shared" si="48"/>
        <v>0</v>
      </c>
      <c r="L569" s="194">
        <f t="shared" si="48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72904</v>
      </c>
      <c r="G570" s="89">
        <f t="shared" ref="G570:L570" si="49">G559+G564+G569</f>
        <v>37544</v>
      </c>
      <c r="H570" s="89">
        <f t="shared" si="49"/>
        <v>0</v>
      </c>
      <c r="I570" s="89">
        <f t="shared" si="49"/>
        <v>0</v>
      </c>
      <c r="J570" s="89">
        <f t="shared" si="49"/>
        <v>0</v>
      </c>
      <c r="K570" s="89">
        <f t="shared" si="49"/>
        <v>0</v>
      </c>
      <c r="L570" s="89">
        <f t="shared" si="49"/>
        <v>110448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50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50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41825</v>
      </c>
      <c r="G578" s="18">
        <v>20912</v>
      </c>
      <c r="H578" s="18">
        <v>20912</v>
      </c>
      <c r="I578" s="87">
        <f t="shared" si="50"/>
        <v>83649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50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435560</v>
      </c>
      <c r="G581" s="18">
        <v>217780</v>
      </c>
      <c r="H581" s="18">
        <f>217780+36536</f>
        <v>254316</v>
      </c>
      <c r="I581" s="87">
        <f t="shared" si="50"/>
        <v>907656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50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324065</v>
      </c>
      <c r="I583" s="87">
        <f t="shared" si="50"/>
        <v>324065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50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302999</v>
      </c>
      <c r="I590" s="18">
        <v>323346</v>
      </c>
      <c r="J590" s="18">
        <v>423982</v>
      </c>
      <c r="K590" s="104">
        <f t="shared" ref="K590:K596" si="51">SUM(H590:J590)</f>
        <v>1050327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H540</f>
        <v>297063</v>
      </c>
      <c r="I591" s="18">
        <f>H541</f>
        <v>148532</v>
      </c>
      <c r="J591" s="18">
        <f>H542</f>
        <v>148532</v>
      </c>
      <c r="K591" s="104">
        <f t="shared" si="51"/>
        <v>594127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36033</v>
      </c>
      <c r="K592" s="104">
        <f t="shared" si="51"/>
        <v>36033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14542</v>
      </c>
      <c r="J593" s="18">
        <v>60803</v>
      </c>
      <c r="K593" s="104">
        <f t="shared" si="51"/>
        <v>75345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1380</v>
      </c>
      <c r="I594" s="18">
        <v>1700</v>
      </c>
      <c r="J594" s="18">
        <f>848+2483</f>
        <v>3331</v>
      </c>
      <c r="K594" s="104">
        <f t="shared" si="51"/>
        <v>6411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51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>
        <v>4587</v>
      </c>
      <c r="K596" s="104">
        <f t="shared" si="51"/>
        <v>4587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601442</v>
      </c>
      <c r="I597" s="108">
        <f>SUM(I590:I596)</f>
        <v>488120</v>
      </c>
      <c r="J597" s="108">
        <f>SUM(J590:J596)</f>
        <v>677268</v>
      </c>
      <c r="K597" s="108">
        <f>SUM(K590:K596)</f>
        <v>1766830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J210+J289</f>
        <v>154635.32</v>
      </c>
      <c r="I603" s="18">
        <f>J228+J308</f>
        <v>166303.43</v>
      </c>
      <c r="J603" s="18">
        <f>J246+J327+J255</f>
        <v>342027.32</v>
      </c>
      <c r="K603" s="104">
        <f>SUM(H603:J603)</f>
        <v>662966.07000000007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154635.32</v>
      </c>
      <c r="I604" s="108">
        <f>SUM(I601:I603)</f>
        <v>166303.43</v>
      </c>
      <c r="J604" s="108">
        <f>SUM(J601:J603)</f>
        <v>342027.32</v>
      </c>
      <c r="K604" s="108">
        <f>SUM(K601:K603)</f>
        <v>662966.07000000007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600</v>
      </c>
      <c r="G610" s="18">
        <v>52.61</v>
      </c>
      <c r="H610" s="18"/>
      <c r="I610" s="18">
        <v>2000</v>
      </c>
      <c r="J610" s="18"/>
      <c r="K610" s="18"/>
      <c r="L610" s="88">
        <f>SUM(F610:K610)</f>
        <v>2652.61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2">SUM(F610:F612)</f>
        <v>600</v>
      </c>
      <c r="G613" s="108">
        <f t="shared" si="52"/>
        <v>52.61</v>
      </c>
      <c r="H613" s="108">
        <f t="shared" si="52"/>
        <v>0</v>
      </c>
      <c r="I613" s="108">
        <f t="shared" si="52"/>
        <v>2000</v>
      </c>
      <c r="J613" s="108">
        <f t="shared" si="52"/>
        <v>0</v>
      </c>
      <c r="K613" s="108">
        <f t="shared" si="52"/>
        <v>0</v>
      </c>
      <c r="L613" s="89">
        <f t="shared" si="52"/>
        <v>2652.61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3177210</v>
      </c>
      <c r="H616" s="109">
        <f>SUM(F51)</f>
        <v>3177210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136284.01999999999</v>
      </c>
      <c r="H617" s="109">
        <f>SUM(G51)</f>
        <v>136284.01999999999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450497</v>
      </c>
      <c r="H618" s="109">
        <f>SUM(H51)</f>
        <v>450497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33783</v>
      </c>
      <c r="H619" s="109">
        <f>SUM(I51)</f>
        <v>33783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374111</v>
      </c>
      <c r="H620" s="109">
        <f>SUM(J51)</f>
        <v>374111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2589899</v>
      </c>
      <c r="H621" s="109">
        <f>F475</f>
        <v>2589899</v>
      </c>
      <c r="I621" s="121" t="s">
        <v>101</v>
      </c>
      <c r="J621" s="109">
        <f t="shared" ref="J621:J654" si="53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136284.01999999999</v>
      </c>
      <c r="H622" s="109">
        <f>G475</f>
        <v>136284.02000000002</v>
      </c>
      <c r="I622" s="121" t="s">
        <v>102</v>
      </c>
      <c r="J622" s="109">
        <f t="shared" si="53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449859</v>
      </c>
      <c r="H623" s="109">
        <f>H475</f>
        <v>449859</v>
      </c>
      <c r="I623" s="121" t="s">
        <v>103</v>
      </c>
      <c r="J623" s="109">
        <f t="shared" si="53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4782</v>
      </c>
      <c r="H624" s="109">
        <f>I475</f>
        <v>4782</v>
      </c>
      <c r="I624" s="121" t="s">
        <v>104</v>
      </c>
      <c r="J624" s="109">
        <f t="shared" si="53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374111</v>
      </c>
      <c r="H625" s="109">
        <f>J475</f>
        <v>374111</v>
      </c>
      <c r="I625" s="140" t="s">
        <v>105</v>
      </c>
      <c r="J625" s="109">
        <f t="shared" si="53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32832404</v>
      </c>
      <c r="H626" s="104">
        <f>SUM(F467)</f>
        <v>32832404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1053089</v>
      </c>
      <c r="H627" s="104">
        <f>SUM(G467)</f>
        <v>1053089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861803</v>
      </c>
      <c r="H628" s="104">
        <f>SUM(H467)</f>
        <v>861803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377900</v>
      </c>
      <c r="H629" s="104">
        <f>SUM(I467)</f>
        <v>377900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249</v>
      </c>
      <c r="H630" s="104">
        <f>SUM(J467)</f>
        <v>249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34666328</v>
      </c>
      <c r="H631" s="104">
        <f>SUM(F471)</f>
        <v>34666328</v>
      </c>
      <c r="I631" s="140" t="s">
        <v>111</v>
      </c>
      <c r="J631" s="109">
        <f t="shared" si="53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813448</v>
      </c>
      <c r="H632" s="104">
        <f>SUM(H471)</f>
        <v>813448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517774.16000000003</v>
      </c>
      <c r="H633" s="104">
        <f>I368</f>
        <v>517774.16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1040728.98</v>
      </c>
      <c r="H634" s="104">
        <f>SUM(G471)</f>
        <v>1040728.98</v>
      </c>
      <c r="I634" s="140" t="s">
        <v>114</v>
      </c>
      <c r="J634" s="109">
        <f t="shared" si="53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373118</v>
      </c>
      <c r="H635" s="104">
        <f>SUM(I471)</f>
        <v>373118</v>
      </c>
      <c r="I635" s="140" t="s">
        <v>116</v>
      </c>
      <c r="J635" s="109">
        <f t="shared" si="53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249</v>
      </c>
      <c r="H636" s="164">
        <f>SUM(J467)</f>
        <v>249</v>
      </c>
      <c r="I636" s="165" t="s">
        <v>110</v>
      </c>
      <c r="J636" s="151">
        <f t="shared" si="53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3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374111</v>
      </c>
      <c r="H638" s="104">
        <f>SUM(F460)</f>
        <v>374111</v>
      </c>
      <c r="I638" s="140" t="s">
        <v>868</v>
      </c>
      <c r="J638" s="109">
        <f t="shared" si="53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3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3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374111</v>
      </c>
      <c r="H641" s="104">
        <f>SUM(I460)</f>
        <v>374111</v>
      </c>
      <c r="I641" s="140" t="s">
        <v>871</v>
      </c>
      <c r="J641" s="109">
        <f t="shared" si="53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3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249</v>
      </c>
      <c r="H643" s="104">
        <f>H407</f>
        <v>249</v>
      </c>
      <c r="I643" s="140" t="s">
        <v>481</v>
      </c>
      <c r="J643" s="109">
        <f t="shared" si="53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3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249</v>
      </c>
      <c r="H645" s="104">
        <f>L407</f>
        <v>249</v>
      </c>
      <c r="I645" s="140" t="s">
        <v>478</v>
      </c>
      <c r="J645" s="109">
        <f t="shared" si="53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1766830</v>
      </c>
      <c r="H646" s="104">
        <f>L207+L225+L243</f>
        <v>1766830</v>
      </c>
      <c r="I646" s="140" t="s">
        <v>397</v>
      </c>
      <c r="J646" s="109">
        <f t="shared" si="53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662966.07000000007</v>
      </c>
      <c r="H647" s="104">
        <f>(J256+J337)-(J254+J335)</f>
        <v>662966.06999999995</v>
      </c>
      <c r="I647" s="140" t="s">
        <v>703</v>
      </c>
      <c r="J647" s="109">
        <f t="shared" si="53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601442</v>
      </c>
      <c r="H648" s="104">
        <f>H597</f>
        <v>601442</v>
      </c>
      <c r="I648" s="140" t="s">
        <v>389</v>
      </c>
      <c r="J648" s="109">
        <f t="shared" si="53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488120</v>
      </c>
      <c r="H649" s="104">
        <f>I597</f>
        <v>488120</v>
      </c>
      <c r="I649" s="140" t="s">
        <v>390</v>
      </c>
      <c r="J649" s="109">
        <f t="shared" si="53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677268</v>
      </c>
      <c r="H650" s="104">
        <f>J597</f>
        <v>677268</v>
      </c>
      <c r="I650" s="140" t="s">
        <v>391</v>
      </c>
      <c r="J650" s="109">
        <f t="shared" si="53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1800</v>
      </c>
      <c r="H651" s="104">
        <f>K262+K344</f>
        <v>1800</v>
      </c>
      <c r="I651" s="140" t="s">
        <v>398</v>
      </c>
      <c r="J651" s="109">
        <f t="shared" si="53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3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3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3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10329986.5</v>
      </c>
      <c r="G659" s="19">
        <f>(L228+L308+L358)</f>
        <v>10270074.279999999</v>
      </c>
      <c r="H659" s="19">
        <f>(L246+L327+L359)</f>
        <v>14652994.34</v>
      </c>
      <c r="I659" s="19">
        <f>SUM(F659:H659)</f>
        <v>35253055.120000005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186915.82160309402</v>
      </c>
      <c r="G660" s="19">
        <f>(L358/IF(SUM(L357:L359)=0,1,SUM(L357:L359))*(SUM(G96:G109)))</f>
        <v>253468.50463849871</v>
      </c>
      <c r="H660" s="19">
        <f>(L359/IF(SUM(L357:L359)=0,1,SUM(L357:L359))*(SUM(G96:G109)))</f>
        <v>349050.67375840736</v>
      </c>
      <c r="I660" s="19">
        <f>SUM(F660:H660)</f>
        <v>789435.00000000012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601442</v>
      </c>
      <c r="G661" s="19">
        <f>(L225+L305)-(J225+J305)</f>
        <v>488120</v>
      </c>
      <c r="H661" s="19">
        <f>(L243+L324)-(J243+J324)</f>
        <v>677268</v>
      </c>
      <c r="I661" s="19">
        <f>SUM(F661:H661)</f>
        <v>1766830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634672.93000000005</v>
      </c>
      <c r="G662" s="200">
        <f>SUM(G574:G586)+SUM(I601:I603)+L611</f>
        <v>404995.43</v>
      </c>
      <c r="H662" s="200">
        <f>SUM(H574:H586)+SUM(J601:J603)+L612</f>
        <v>941320.32000000007</v>
      </c>
      <c r="I662" s="19">
        <f>SUM(F662:H662)</f>
        <v>1980988.6800000002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8906955.748396907</v>
      </c>
      <c r="G663" s="19">
        <f>G659-SUM(G660:G662)</f>
        <v>9123490.345361501</v>
      </c>
      <c r="H663" s="19">
        <f>H659-SUM(H660:H662)</f>
        <v>12685355.346241593</v>
      </c>
      <c r="I663" s="19">
        <f>I659-SUM(I660:I662)</f>
        <v>30715801.440000005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731.33</v>
      </c>
      <c r="G664" s="249">
        <v>892.86</v>
      </c>
      <c r="H664" s="249">
        <v>1177.6500000000001</v>
      </c>
      <c r="I664" s="19">
        <f>SUM(F664:H664)</f>
        <v>2801.84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12179.12</v>
      </c>
      <c r="G666" s="19">
        <f>ROUND(G663/G664,2)</f>
        <v>10218.280000000001</v>
      </c>
      <c r="H666" s="19">
        <f>ROUND(H663/H664,2)</f>
        <v>10771.75</v>
      </c>
      <c r="I666" s="19">
        <f>ROUND(I663/I664,2)</f>
        <v>10962.73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-29.53</v>
      </c>
      <c r="I669" s="19">
        <f>SUM(F669:H669)</f>
        <v>-29.53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12179.12</v>
      </c>
      <c r="G671" s="19">
        <f>ROUND((G663+G668)/(G664+G669),2)</f>
        <v>10218.280000000001</v>
      </c>
      <c r="H671" s="19">
        <f>ROUND((H663+H668)/(H664+H669),2)</f>
        <v>11048.81</v>
      </c>
      <c r="I671" s="19">
        <f>ROUND((I663+I668)/(I664+I669),2)</f>
        <v>11079.5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9" workbookViewId="0">
      <selection activeCell="G35" sqref="G35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Goffstown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9933010.9900000002</v>
      </c>
      <c r="C9" s="230">
        <f>'DOE25'!G196+'DOE25'!G214+'DOE25'!G232+'DOE25'!G275+'DOE25'!G294+'DOE25'!G313</f>
        <v>4494377.7299999995</v>
      </c>
    </row>
    <row r="10" spans="1:3">
      <c r="A10" t="s">
        <v>779</v>
      </c>
      <c r="B10" s="241">
        <v>9508675.9900000002</v>
      </c>
      <c r="C10" s="241">
        <v>3930100.73</v>
      </c>
    </row>
    <row r="11" spans="1:3">
      <c r="A11" t="s">
        <v>780</v>
      </c>
      <c r="B11" s="241"/>
      <c r="C11" s="241"/>
    </row>
    <row r="12" spans="1:3">
      <c r="A12" t="s">
        <v>781</v>
      </c>
      <c r="B12" s="241">
        <v>424335</v>
      </c>
      <c r="C12" s="241">
        <v>564277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9933010.9900000002</v>
      </c>
      <c r="C13" s="232">
        <f>SUM(C10:C12)</f>
        <v>4494377.7300000004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3510914</v>
      </c>
      <c r="C18" s="230">
        <f>'DOE25'!G197+'DOE25'!G215+'DOE25'!G233+'DOE25'!G276+'DOE25'!G295+'DOE25'!G314</f>
        <v>1791462.0100000002</v>
      </c>
    </row>
    <row r="19" spans="1:3">
      <c r="A19" t="s">
        <v>779</v>
      </c>
      <c r="B19" s="241">
        <v>2138660</v>
      </c>
      <c r="C19" s="241">
        <v>1174664</v>
      </c>
    </row>
    <row r="20" spans="1:3">
      <c r="A20" t="s">
        <v>780</v>
      </c>
      <c r="B20" s="241">
        <v>1305616</v>
      </c>
      <c r="C20" s="241">
        <v>581604</v>
      </c>
    </row>
    <row r="21" spans="1:3">
      <c r="A21" t="s">
        <v>781</v>
      </c>
      <c r="B21" s="241">
        <v>66638</v>
      </c>
      <c r="C21" s="241">
        <v>35194.01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3510914</v>
      </c>
      <c r="C22" s="232">
        <f>SUM(C19:C21)</f>
        <v>1791462.01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333543</v>
      </c>
      <c r="C36" s="236">
        <f>'DOE25'!G199+'DOE25'!G217+'DOE25'!G235+'DOE25'!G278+'DOE25'!G297+'DOE25'!G316</f>
        <v>64113</v>
      </c>
    </row>
    <row r="37" spans="1:3">
      <c r="A37" t="s">
        <v>779</v>
      </c>
      <c r="B37" s="241">
        <v>312</v>
      </c>
      <c r="C37" s="241">
        <v>52</v>
      </c>
    </row>
    <row r="38" spans="1:3">
      <c r="A38" t="s">
        <v>780</v>
      </c>
      <c r="B38" s="241">
        <v>288</v>
      </c>
      <c r="C38" s="241">
        <v>22</v>
      </c>
    </row>
    <row r="39" spans="1:3">
      <c r="A39" t="s">
        <v>781</v>
      </c>
      <c r="B39" s="241">
        <v>332943</v>
      </c>
      <c r="C39" s="241">
        <v>64039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333543</v>
      </c>
      <c r="C40" s="232">
        <f>SUM(C37:C39)</f>
        <v>64113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2" activePane="bottomLeft" state="frozen"/>
      <selection pane="bottomLeft" activeCell="O20" sqref="O20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Goffstown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22739674</v>
      </c>
      <c r="D5" s="20">
        <f>SUM('DOE25'!L196:L199)+SUM('DOE25'!L214:L217)+SUM('DOE25'!L232:L235)-F5-G5</f>
        <v>22207427</v>
      </c>
      <c r="E5" s="244"/>
      <c r="F5" s="256">
        <f>SUM('DOE25'!J196:J199)+SUM('DOE25'!J214:J217)+SUM('DOE25'!J232:J235)</f>
        <v>506609</v>
      </c>
      <c r="G5" s="53">
        <f>SUM('DOE25'!K196:K199)+SUM('DOE25'!K214:K217)+SUM('DOE25'!K232:K235)</f>
        <v>25638</v>
      </c>
      <c r="H5" s="260"/>
    </row>
    <row r="6" spans="1:9">
      <c r="A6" s="32">
        <v>2100</v>
      </c>
      <c r="B6" t="s">
        <v>801</v>
      </c>
      <c r="C6" s="246">
        <f t="shared" si="0"/>
        <v>1941650</v>
      </c>
      <c r="D6" s="20">
        <f>'DOE25'!L201+'DOE25'!L219+'DOE25'!L237-F6-G6</f>
        <v>1940752</v>
      </c>
      <c r="E6" s="244"/>
      <c r="F6" s="256">
        <f>'DOE25'!J201+'DOE25'!J219+'DOE25'!J237</f>
        <v>0</v>
      </c>
      <c r="G6" s="53">
        <f>'DOE25'!K201+'DOE25'!K219+'DOE25'!K237</f>
        <v>898</v>
      </c>
      <c r="H6" s="260"/>
    </row>
    <row r="7" spans="1:9">
      <c r="A7" s="32">
        <v>2200</v>
      </c>
      <c r="B7" t="s">
        <v>834</v>
      </c>
      <c r="C7" s="246">
        <f t="shared" si="0"/>
        <v>673449</v>
      </c>
      <c r="D7" s="20">
        <f>'DOE25'!L202+'DOE25'!L220+'DOE25'!L238-F7-G7</f>
        <v>653066</v>
      </c>
      <c r="E7" s="244"/>
      <c r="F7" s="256">
        <f>'DOE25'!J202+'DOE25'!J220+'DOE25'!J238</f>
        <v>20383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614339</v>
      </c>
      <c r="D8" s="244"/>
      <c r="E8" s="20">
        <f>'DOE25'!L203+'DOE25'!L221+'DOE25'!L239-F8-G8-D9-D11</f>
        <v>608161</v>
      </c>
      <c r="F8" s="256">
        <f>'DOE25'!J203+'DOE25'!J221+'DOE25'!J239</f>
        <v>0</v>
      </c>
      <c r="G8" s="53">
        <f>'DOE25'!K203+'DOE25'!K221+'DOE25'!K239</f>
        <v>6178</v>
      </c>
      <c r="H8" s="260"/>
    </row>
    <row r="9" spans="1:9">
      <c r="A9" s="32">
        <v>2310</v>
      </c>
      <c r="B9" t="s">
        <v>818</v>
      </c>
      <c r="C9" s="246">
        <f t="shared" si="0"/>
        <v>47496</v>
      </c>
      <c r="D9" s="245">
        <v>47496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9500</v>
      </c>
      <c r="D10" s="244"/>
      <c r="E10" s="245">
        <v>9500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523575</v>
      </c>
      <c r="D11" s="245">
        <v>523575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2064530</v>
      </c>
      <c r="D12" s="20">
        <f>'DOE25'!L204+'DOE25'!L222+'DOE25'!L240-F12-G12</f>
        <v>2033471</v>
      </c>
      <c r="E12" s="244"/>
      <c r="F12" s="256">
        <f>'DOE25'!J204+'DOE25'!J222+'DOE25'!J240</f>
        <v>3286</v>
      </c>
      <c r="G12" s="53">
        <f>'DOE25'!K204+'DOE25'!K222+'DOE25'!K240</f>
        <v>27773</v>
      </c>
      <c r="H12" s="260"/>
    </row>
    <row r="13" spans="1:9">
      <c r="A13" s="32">
        <v>2500</v>
      </c>
      <c r="B13" t="s">
        <v>803</v>
      </c>
      <c r="C13" s="246">
        <f t="shared" si="0"/>
        <v>-28213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-28213</v>
      </c>
      <c r="H13" s="260"/>
    </row>
    <row r="14" spans="1:9">
      <c r="A14" s="32">
        <v>2600</v>
      </c>
      <c r="B14" t="s">
        <v>832</v>
      </c>
      <c r="C14" s="246">
        <f t="shared" si="0"/>
        <v>3068794</v>
      </c>
      <c r="D14" s="20">
        <f>'DOE25'!L206+'DOE25'!L224+'DOE25'!L242-F14-G14</f>
        <v>2939269</v>
      </c>
      <c r="E14" s="244"/>
      <c r="F14" s="256">
        <f>'DOE25'!J206+'DOE25'!J224+'DOE25'!J242</f>
        <v>129525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1766830</v>
      </c>
      <c r="D15" s="20">
        <f>'DOE25'!L207+'DOE25'!L225+'DOE25'!L243-F15-G15</f>
        <v>1766830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8256</v>
      </c>
      <c r="D16" s="244"/>
      <c r="E16" s="20">
        <f>'DOE25'!L208+'DOE25'!L226+'DOE25'!L244-F16-G16</f>
        <v>8256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71273</v>
      </c>
      <c r="D17" s="20">
        <f>'DOE25'!L250-F17-G17</f>
        <v>68735</v>
      </c>
      <c r="E17" s="244"/>
      <c r="F17" s="256">
        <f>'DOE25'!J250</f>
        <v>2538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1172875</v>
      </c>
      <c r="D25" s="244"/>
      <c r="E25" s="244"/>
      <c r="F25" s="259"/>
      <c r="G25" s="257"/>
      <c r="H25" s="258">
        <f>'DOE25'!L259+'DOE25'!L260+'DOE25'!L340+'DOE25'!L341</f>
        <v>1172875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557012.98</v>
      </c>
      <c r="D29" s="20">
        <f>'DOE25'!L357+'DOE25'!L358+'DOE25'!L359-'DOE25'!I366-F29-G29</f>
        <v>549160.73</v>
      </c>
      <c r="E29" s="244"/>
      <c r="F29" s="256">
        <f>'DOE25'!J357+'DOE25'!J358+'DOE25'!J359</f>
        <v>6820</v>
      </c>
      <c r="G29" s="53">
        <f>'DOE25'!K357+'DOE25'!K358+'DOE25'!K359</f>
        <v>1032.25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813261.14</v>
      </c>
      <c r="D31" s="20">
        <f>'DOE25'!L289+'DOE25'!L308+'DOE25'!L327+'DOE25'!L332+'DOE25'!L333+'DOE25'!L334-F31-G31</f>
        <v>805793.94000000006</v>
      </c>
      <c r="E31" s="244"/>
      <c r="F31" s="256">
        <f>'DOE25'!J289+'DOE25'!J308+'DOE25'!J327+'DOE25'!J332+'DOE25'!J333+'DOE25'!J334</f>
        <v>625.06999999999994</v>
      </c>
      <c r="G31" s="53">
        <f>'DOE25'!K289+'DOE25'!K308+'DOE25'!K327+'DOE25'!K332+'DOE25'!K333+'DOE25'!K334</f>
        <v>6842.13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33535575.670000002</v>
      </c>
      <c r="E33" s="247">
        <f>SUM(E5:E31)</f>
        <v>625917</v>
      </c>
      <c r="F33" s="247">
        <f>SUM(F5:F31)</f>
        <v>669786.06999999995</v>
      </c>
      <c r="G33" s="247">
        <f>SUM(G5:G31)</f>
        <v>40148.379999999997</v>
      </c>
      <c r="H33" s="247">
        <f>SUM(H5:H31)</f>
        <v>1172875</v>
      </c>
    </row>
    <row r="35" spans="2:8" ht="12" thickBot="1">
      <c r="B35" s="254" t="s">
        <v>847</v>
      </c>
      <c r="D35" s="255">
        <f>E33</f>
        <v>625917</v>
      </c>
      <c r="E35" s="250"/>
    </row>
    <row r="36" spans="2:8" ht="12" thickTop="1">
      <c r="B36" t="s">
        <v>815</v>
      </c>
      <c r="D36" s="20">
        <f>D33</f>
        <v>33535575.670000002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Goffstown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2583067</v>
      </c>
      <c r="D8" s="95">
        <f>'DOE25'!G9</f>
        <v>119337</v>
      </c>
      <c r="E8" s="95">
        <f>'DOE25'!H9</f>
        <v>0</v>
      </c>
      <c r="F8" s="95">
        <f>'DOE25'!I9</f>
        <v>33783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16947.02</v>
      </c>
      <c r="E11" s="95">
        <f>'DOE25'!H12</f>
        <v>0</v>
      </c>
      <c r="F11" s="95">
        <f>'DOE25'!I12</f>
        <v>0</v>
      </c>
      <c r="G11" s="95">
        <f>'DOE25'!J12</f>
        <v>19139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438105</v>
      </c>
      <c r="D12" s="95">
        <f>'DOE25'!G13</f>
        <v>0</v>
      </c>
      <c r="E12" s="95">
        <f>'DOE25'!H13</f>
        <v>449859</v>
      </c>
      <c r="F12" s="95">
        <f>'DOE25'!I13</f>
        <v>0</v>
      </c>
      <c r="G12" s="95">
        <f>'DOE25'!J13</f>
        <v>349971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650</v>
      </c>
      <c r="D13" s="95">
        <f>'DOE25'!G14</f>
        <v>0</v>
      </c>
      <c r="E13" s="95">
        <f>'DOE25'!H14</f>
        <v>638</v>
      </c>
      <c r="F13" s="95">
        <f>'DOE25'!I14</f>
        <v>0</v>
      </c>
      <c r="G13" s="95">
        <f>'DOE25'!J14</f>
        <v>5001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45864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109524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3177210</v>
      </c>
      <c r="D18" s="41">
        <f>SUM(D8:D17)</f>
        <v>136284.01999999999</v>
      </c>
      <c r="E18" s="41">
        <f>SUM(E8:E17)</f>
        <v>450497</v>
      </c>
      <c r="F18" s="41">
        <f>SUM(F8:F17)</f>
        <v>33783</v>
      </c>
      <c r="G18" s="41">
        <f>SUM(G8:G17)</f>
        <v>374111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638</v>
      </c>
      <c r="F22" s="95">
        <f>'DOE25'!I23</f>
        <v>5001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554530</v>
      </c>
      <c r="D23" s="95">
        <f>'DOE25'!G24</f>
        <v>0</v>
      </c>
      <c r="E23" s="95">
        <f>'DOE25'!H24</f>
        <v>0</v>
      </c>
      <c r="F23" s="95">
        <f>'DOE25'!I24</f>
        <v>24000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13503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3114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15343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821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587311</v>
      </c>
      <c r="D31" s="41">
        <f>SUM(D21:D30)</f>
        <v>0</v>
      </c>
      <c r="E31" s="41">
        <f>SUM(E21:E30)</f>
        <v>638</v>
      </c>
      <c r="F31" s="41">
        <f>SUM(F21:F30)</f>
        <v>29001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45864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53391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136284.01999999999</v>
      </c>
      <c r="E46" s="95">
        <f>'DOE25'!H47</f>
        <v>449859</v>
      </c>
      <c r="F46" s="95">
        <f>'DOE25'!I47</f>
        <v>4782</v>
      </c>
      <c r="G46" s="95">
        <f>'DOE25'!J47</f>
        <v>374111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1529963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960681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2589899</v>
      </c>
      <c r="D49" s="41">
        <f>SUM(D34:D48)</f>
        <v>136284.01999999999</v>
      </c>
      <c r="E49" s="41">
        <f>SUM(E34:E48)</f>
        <v>449859</v>
      </c>
      <c r="F49" s="41">
        <f>SUM(F34:F48)</f>
        <v>4782</v>
      </c>
      <c r="G49" s="41">
        <f>SUM(G34:G48)</f>
        <v>374111</v>
      </c>
      <c r="H49" s="124"/>
      <c r="I49" s="124"/>
    </row>
    <row r="50" spans="1:9" ht="12" thickTop="1">
      <c r="A50" s="38" t="s">
        <v>895</v>
      </c>
      <c r="B50" s="2"/>
      <c r="C50" s="41">
        <f>C49+C31</f>
        <v>3177210</v>
      </c>
      <c r="D50" s="41">
        <f>D49+D31</f>
        <v>136284.01999999999</v>
      </c>
      <c r="E50" s="41">
        <f>E49+E31</f>
        <v>450497</v>
      </c>
      <c r="F50" s="41">
        <f>F49+F31</f>
        <v>33783</v>
      </c>
      <c r="G50" s="41">
        <f>G49+G31</f>
        <v>374111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14259654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7055923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325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249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789435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46036</v>
      </c>
      <c r="D60" s="95">
        <f>SUM('DOE25'!G97:G109)</f>
        <v>0</v>
      </c>
      <c r="E60" s="95">
        <f>SUM('DOE25'!H97:H109)</f>
        <v>44085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7102284</v>
      </c>
      <c r="D61" s="130">
        <f>SUM(D56:D60)</f>
        <v>789435</v>
      </c>
      <c r="E61" s="130">
        <f>SUM(E56:E60)</f>
        <v>44085</v>
      </c>
      <c r="F61" s="130">
        <f>SUM(F56:F60)</f>
        <v>0</v>
      </c>
      <c r="G61" s="130">
        <f>SUM(G56:G60)</f>
        <v>249</v>
      </c>
      <c r="H61"/>
      <c r="I61"/>
    </row>
    <row r="62" spans="1:9" ht="12" thickTop="1">
      <c r="A62" s="29" t="s">
        <v>175</v>
      </c>
      <c r="B62" s="6"/>
      <c r="C62" s="22">
        <f>C55+C61</f>
        <v>21361938</v>
      </c>
      <c r="D62" s="22">
        <f>D55+D61</f>
        <v>789435</v>
      </c>
      <c r="E62" s="22">
        <f>E55+E61</f>
        <v>44085</v>
      </c>
      <c r="F62" s="22">
        <f>F55+F61</f>
        <v>0</v>
      </c>
      <c r="G62" s="22">
        <f>G55+G61</f>
        <v>249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7117342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3235678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6167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10359187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214035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388084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18850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4500</v>
      </c>
      <c r="D76" s="95">
        <f>SUM('DOE25'!G130:G134)</f>
        <v>11009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625469</v>
      </c>
      <c r="D77" s="130">
        <f>SUM(D71:D76)</f>
        <v>11009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10984656</v>
      </c>
      <c r="D80" s="130">
        <f>SUM(D78:D79)+D77+D69</f>
        <v>11009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1223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485810</v>
      </c>
      <c r="D87" s="95">
        <f>SUM('DOE25'!G152:G160)</f>
        <v>197584</v>
      </c>
      <c r="E87" s="95">
        <f>SUM('DOE25'!H152:H160)</f>
        <v>815587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53261</v>
      </c>
      <c r="E88" s="95">
        <f>'DOE25'!H162+'DOE25'!H167</f>
        <v>908</v>
      </c>
      <c r="F88" s="95">
        <f>'DOE25'!I162</f>
        <v>377900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485810</v>
      </c>
      <c r="D90" s="131">
        <f>SUM(D84:D89)</f>
        <v>250845</v>
      </c>
      <c r="E90" s="131">
        <f>SUM(E84:E89)</f>
        <v>817718</v>
      </c>
      <c r="F90" s="131">
        <f>SUM(F84:F89)</f>
        <v>377900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1800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1800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32832404</v>
      </c>
      <c r="D103" s="86">
        <f>D62+D80+D90+D102</f>
        <v>1053089</v>
      </c>
      <c r="E103" s="86">
        <f>E62+E80+E90+E102</f>
        <v>861803</v>
      </c>
      <c r="F103" s="86">
        <f>F62+F80+F90+F102</f>
        <v>377900</v>
      </c>
      <c r="G103" s="86">
        <f>G62+G80+G102</f>
        <v>249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15492594</v>
      </c>
      <c r="D108" s="24" t="s">
        <v>289</v>
      </c>
      <c r="E108" s="95">
        <f>('DOE25'!L275)+('DOE25'!L294)+('DOE25'!L313)</f>
        <v>298832.49999999994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6259310</v>
      </c>
      <c r="D109" s="24" t="s">
        <v>289</v>
      </c>
      <c r="E109" s="95">
        <f>('DOE25'!L276)+('DOE25'!L295)+('DOE25'!L314)</f>
        <v>344262.77999999997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324066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663704</v>
      </c>
      <c r="D111" s="24" t="s">
        <v>289</v>
      </c>
      <c r="E111" s="95">
        <f>+('DOE25'!L278)+('DOE25'!L297)+('DOE25'!L316)</f>
        <v>3701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71273</v>
      </c>
      <c r="D113" s="24" t="s">
        <v>289</v>
      </c>
      <c r="E113" s="95">
        <f>+ SUM('DOE25'!L332:L334)</f>
        <v>21315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22810947</v>
      </c>
      <c r="D114" s="86">
        <f>SUM(D108:D113)</f>
        <v>0</v>
      </c>
      <c r="E114" s="86">
        <f>SUM(E108:E113)</f>
        <v>668111.27999999991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1941650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673449</v>
      </c>
      <c r="D118" s="24" t="s">
        <v>289</v>
      </c>
      <c r="E118" s="95">
        <f>+('DOE25'!L281)+('DOE25'!L300)+('DOE25'!L319)</f>
        <v>136432.73000000001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1185410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2064530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-28213</v>
      </c>
      <c r="D121" s="24" t="s">
        <v>289</v>
      </c>
      <c r="E121" s="95">
        <f>+('DOE25'!L284)+('DOE25'!L303)+('DOE25'!L322)</f>
        <v>6842.13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3068794</v>
      </c>
      <c r="D122" s="24" t="s">
        <v>289</v>
      </c>
      <c r="E122" s="95">
        <f>+('DOE25'!L285)+('DOE25'!L304)+('DOE25'!L323)</f>
        <v>1875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1766830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8256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1040728.98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10680706</v>
      </c>
      <c r="D127" s="86">
        <f>SUM(D117:D126)</f>
        <v>1040728.98</v>
      </c>
      <c r="E127" s="86">
        <f>SUM(E117:E126)</f>
        <v>145149.86000000002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373118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950000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222875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186.86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1800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249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-249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1174675</v>
      </c>
      <c r="D143" s="141">
        <f>SUM(D129:D142)</f>
        <v>0</v>
      </c>
      <c r="E143" s="141">
        <f>SUM(E129:E142)</f>
        <v>186.86</v>
      </c>
      <c r="F143" s="141">
        <f>SUM(F129:F142)</f>
        <v>373118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34666328</v>
      </c>
      <c r="D144" s="86">
        <f>(D114+D127+D143)</f>
        <v>1040728.98</v>
      </c>
      <c r="E144" s="86">
        <f>(E114+E127+E143)</f>
        <v>813447.99999999988</v>
      </c>
      <c r="F144" s="86">
        <f>(F114+F127+F143)</f>
        <v>373118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8</v>
      </c>
      <c r="C150" s="153">
        <f>'DOE25'!G489</f>
        <v>10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08/03</v>
      </c>
      <c r="C151" s="152" t="str">
        <f>'DOE25'!G490</f>
        <v>10/10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08/11</v>
      </c>
      <c r="C152" s="152" t="str">
        <f>'DOE25'!G491</f>
        <v>07/21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5166775</v>
      </c>
      <c r="C153" s="137">
        <f>'DOE25'!G492</f>
        <v>6015000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2.89</v>
      </c>
      <c r="C154" s="137">
        <f>'DOE25'!G493</f>
        <v>3.68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300000</v>
      </c>
      <c r="C155" s="137">
        <f>'DOE25'!G494</f>
        <v>6015000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6315000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300000</v>
      </c>
      <c r="C157" s="137">
        <f>'DOE25'!G496</f>
        <v>650000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950000</v>
      </c>
    </row>
    <row r="158" spans="1:9">
      <c r="A158" s="22" t="s">
        <v>35</v>
      </c>
      <c r="B158" s="137">
        <f>'DOE25'!F497</f>
        <v>0</v>
      </c>
      <c r="C158" s="137">
        <f>'DOE25'!G497</f>
        <v>5635000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5635000</v>
      </c>
    </row>
    <row r="159" spans="1:9">
      <c r="A159" s="22" t="s">
        <v>36</v>
      </c>
      <c r="B159" s="137">
        <f>'DOE25'!F498</f>
        <v>0</v>
      </c>
      <c r="C159" s="137">
        <f>'DOE25'!G498</f>
        <v>1117281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1117281</v>
      </c>
    </row>
    <row r="160" spans="1:9">
      <c r="A160" s="22" t="s">
        <v>37</v>
      </c>
      <c r="B160" s="137">
        <f>'DOE25'!F499</f>
        <v>0</v>
      </c>
      <c r="C160" s="137">
        <f>'DOE25'!G499</f>
        <v>6752281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6752281</v>
      </c>
    </row>
    <row r="161" spans="1:7">
      <c r="A161" s="22" t="s">
        <v>38</v>
      </c>
      <c r="B161" s="137">
        <f>'DOE25'!F500</f>
        <v>0</v>
      </c>
      <c r="C161" s="137">
        <f>'DOE25'!G500</f>
        <v>640000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640000</v>
      </c>
    </row>
    <row r="162" spans="1:7">
      <c r="A162" s="22" t="s">
        <v>39</v>
      </c>
      <c r="B162" s="137">
        <f>'DOE25'!F501</f>
        <v>0</v>
      </c>
      <c r="C162" s="137">
        <f>'DOE25'!G501</f>
        <v>197100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197100</v>
      </c>
    </row>
    <row r="163" spans="1:7">
      <c r="A163" s="22" t="s">
        <v>246</v>
      </c>
      <c r="B163" s="137">
        <f>'DOE25'!F502</f>
        <v>0</v>
      </c>
      <c r="C163" s="137">
        <f>'DOE25'!G502</f>
        <v>837100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837100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4" workbookViewId="0">
      <selection activeCell="G29" sqref="G29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Goffstown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12179</v>
      </c>
    </row>
    <row r="5" spans="1:4">
      <c r="B5" t="s">
        <v>704</v>
      </c>
      <c r="C5" s="179">
        <f>IF('DOE25'!G664+'DOE25'!G669=0,0,ROUND('DOE25'!G671,0))</f>
        <v>10218</v>
      </c>
    </row>
    <row r="6" spans="1:4">
      <c r="B6" t="s">
        <v>62</v>
      </c>
      <c r="C6" s="179">
        <f>IF('DOE25'!H664+'DOE25'!H669=0,0,ROUND('DOE25'!H671,0))</f>
        <v>11049</v>
      </c>
    </row>
    <row r="7" spans="1:4">
      <c r="B7" t="s">
        <v>705</v>
      </c>
      <c r="C7" s="179">
        <f>IF('DOE25'!I664+'DOE25'!I669=0,0,ROUND('DOE25'!I671,0))</f>
        <v>11080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15791427</v>
      </c>
      <c r="D10" s="182">
        <f>ROUND((C10/$C$28)*100,1)</f>
        <v>45.4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6603573</v>
      </c>
      <c r="D11" s="182">
        <f>ROUND((C11/$C$28)*100,1)</f>
        <v>19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324066</v>
      </c>
      <c r="D12" s="182">
        <f>ROUND((C12/$C$28)*100,1)</f>
        <v>0.9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667405</v>
      </c>
      <c r="D13" s="182">
        <f>ROUND((C13/$C$28)*100,1)</f>
        <v>1.9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1941650</v>
      </c>
      <c r="D15" s="182">
        <f t="shared" ref="D15:D27" si="0">ROUND((C15/$C$28)*100,1)</f>
        <v>5.6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809882</v>
      </c>
      <c r="D16" s="182">
        <f t="shared" si="0"/>
        <v>2.2999999999999998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1193666</v>
      </c>
      <c r="D17" s="182">
        <f t="shared" si="0"/>
        <v>3.4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2064530</v>
      </c>
      <c r="D18" s="182">
        <f t="shared" si="0"/>
        <v>5.9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-21371</v>
      </c>
      <c r="D19" s="182">
        <f t="shared" si="0"/>
        <v>-0.1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3070669</v>
      </c>
      <c r="D20" s="182">
        <f t="shared" si="0"/>
        <v>8.8000000000000007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1766830</v>
      </c>
      <c r="D21" s="182">
        <f t="shared" si="0"/>
        <v>5.0999999999999996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92588</v>
      </c>
      <c r="D24" s="182">
        <f t="shared" si="0"/>
        <v>0.3</v>
      </c>
    </row>
    <row r="25" spans="1:4">
      <c r="A25">
        <v>5120</v>
      </c>
      <c r="B25" t="s">
        <v>720</v>
      </c>
      <c r="C25" s="179">
        <f>ROUND('DOE25'!L260+'DOE25'!L341,0)</f>
        <v>222875</v>
      </c>
      <c r="D25" s="182">
        <f t="shared" si="0"/>
        <v>0.6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251294</v>
      </c>
      <c r="D27" s="182">
        <f t="shared" si="0"/>
        <v>0.7</v>
      </c>
    </row>
    <row r="28" spans="1:4">
      <c r="B28" s="187" t="s">
        <v>723</v>
      </c>
      <c r="C28" s="180">
        <f>SUM(C10:C27)</f>
        <v>34779084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373118</v>
      </c>
    </row>
    <row r="30" spans="1:4">
      <c r="B30" s="187" t="s">
        <v>729</v>
      </c>
      <c r="C30" s="180">
        <f>SUM(C28:C29)</f>
        <v>35152202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950000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14259654</v>
      </c>
      <c r="D35" s="182">
        <f t="shared" ref="D35:D40" si="1">ROUND((C35/$C$41)*100,1)</f>
        <v>41.5</v>
      </c>
    </row>
    <row r="36" spans="1:4">
      <c r="B36" s="185" t="s">
        <v>743</v>
      </c>
      <c r="C36" s="179">
        <f>SUM('DOE25'!F111:J111)-SUM('DOE25'!G96:G109)+('DOE25'!F173+'DOE25'!F174+'DOE25'!I173+'DOE25'!I174)-C35</f>
        <v>7146618</v>
      </c>
      <c r="D36" s="182">
        <f t="shared" si="1"/>
        <v>20.8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10359187</v>
      </c>
      <c r="D37" s="182">
        <f t="shared" si="1"/>
        <v>30.2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636478</v>
      </c>
      <c r="D38" s="182">
        <f t="shared" si="1"/>
        <v>1.9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1932273</v>
      </c>
      <c r="D39" s="182">
        <f t="shared" si="1"/>
        <v>5.6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34334210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S34" sqref="S3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>Goffstown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>
        <v>4</v>
      </c>
      <c r="B4" s="220">
        <v>1</v>
      </c>
      <c r="C4" s="280" t="s">
        <v>914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>
        <v>21</v>
      </c>
      <c r="B6" s="220">
        <v>19</v>
      </c>
      <c r="C6" s="280" t="s">
        <v>915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>
        <v>23</v>
      </c>
      <c r="B7" s="220">
        <v>2</v>
      </c>
      <c r="C7" s="280" t="s">
        <v>916</v>
      </c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2012-10-19T12:53:25Z</cp:lastPrinted>
  <dcterms:created xsi:type="dcterms:W3CDTF">1997-12-04T19:04:30Z</dcterms:created>
  <dcterms:modified xsi:type="dcterms:W3CDTF">2012-11-21T14:35:23Z</dcterms:modified>
</cp:coreProperties>
</file>