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12705" yWindow="-15" windowWidth="12540" windowHeight="116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6" i="1" l="1"/>
  <c r="I506" i="1" l="1"/>
  <c r="F581" i="1" l="1"/>
  <c r="H581" i="1"/>
  <c r="H577" i="1"/>
  <c r="F497" i="1"/>
  <c r="H366" i="1"/>
  <c r="G366" i="1"/>
  <c r="F366" i="1"/>
  <c r="I359" i="1"/>
  <c r="H359" i="1"/>
  <c r="I358" i="1"/>
  <c r="H358" i="1"/>
  <c r="I357" i="1"/>
  <c r="H357" i="1"/>
  <c r="I197" i="1"/>
  <c r="H197" i="1"/>
  <c r="G197" i="1"/>
  <c r="F197" i="1"/>
  <c r="G196" i="1"/>
  <c r="F196" i="1"/>
  <c r="K196" i="1"/>
  <c r="H196" i="1"/>
  <c r="F29" i="1" l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G31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E111" i="2" s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2" i="10"/>
  <c r="C13" i="10"/>
  <c r="C15" i="10"/>
  <c r="C17" i="10"/>
  <c r="C18" i="10"/>
  <c r="C19" i="10"/>
  <c r="C20" i="10"/>
  <c r="L249" i="1"/>
  <c r="L331" i="1"/>
  <c r="L253" i="1"/>
  <c r="C24" i="10" s="1"/>
  <c r="C25" i="10"/>
  <c r="L267" i="1"/>
  <c r="L268" i="1"/>
  <c r="L348" i="1"/>
  <c r="L349" i="1"/>
  <c r="I664" i="1"/>
  <c r="I669" i="1"/>
  <c r="F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C112" i="2"/>
  <c r="E112" i="2"/>
  <c r="C113" i="2"/>
  <c r="E113" i="2"/>
  <c r="C114" i="2"/>
  <c r="D114" i="2"/>
  <c r="F114" i="2"/>
  <c r="G114" i="2"/>
  <c r="E117" i="2"/>
  <c r="C118" i="2"/>
  <c r="E118" i="2"/>
  <c r="C119" i="2"/>
  <c r="E119" i="2"/>
  <c r="C120" i="2"/>
  <c r="E120" i="2"/>
  <c r="C121" i="2"/>
  <c r="E121" i="2"/>
  <c r="C122" i="2"/>
  <c r="E122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H433" i="1" s="1"/>
  <c r="I426" i="1"/>
  <c r="J426" i="1"/>
  <c r="L428" i="1"/>
  <c r="L429" i="1"/>
  <c r="L430" i="1"/>
  <c r="L431" i="1"/>
  <c r="F432" i="1"/>
  <c r="G432" i="1"/>
  <c r="H432" i="1"/>
  <c r="I432" i="1"/>
  <c r="J432" i="1"/>
  <c r="F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8" i="1"/>
  <c r="G650" i="1"/>
  <c r="G651" i="1"/>
  <c r="H651" i="1"/>
  <c r="J651" i="1" s="1"/>
  <c r="G652" i="1"/>
  <c r="H652" i="1"/>
  <c r="G653" i="1"/>
  <c r="H653" i="1"/>
  <c r="H654" i="1"/>
  <c r="J351" i="1"/>
  <c r="F191" i="1"/>
  <c r="L255" i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L350" i="1"/>
  <c r="L289" i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60" i="2"/>
  <c r="G157" i="2"/>
  <c r="E143" i="2"/>
  <c r="G102" i="2"/>
  <c r="E102" i="2"/>
  <c r="C102" i="2"/>
  <c r="D90" i="2"/>
  <c r="F90" i="2"/>
  <c r="E61" i="2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J653" i="1" l="1"/>
  <c r="J652" i="1"/>
  <c r="E114" i="2"/>
  <c r="F31" i="13"/>
  <c r="H660" i="1"/>
  <c r="C21" i="10"/>
  <c r="I433" i="1"/>
  <c r="G433" i="1"/>
  <c r="F256" i="1"/>
  <c r="F270" i="1" s="1"/>
  <c r="G155" i="2"/>
  <c r="J641" i="1"/>
  <c r="K433" i="1"/>
  <c r="G133" i="2" s="1"/>
  <c r="G143" i="2" s="1"/>
  <c r="G144" i="2" s="1"/>
  <c r="I662" i="1"/>
  <c r="G570" i="1"/>
  <c r="F544" i="1"/>
  <c r="G660" i="1"/>
  <c r="L361" i="1"/>
  <c r="I337" i="1"/>
  <c r="I351" i="1" s="1"/>
  <c r="C11" i="10"/>
  <c r="L246" i="1"/>
  <c r="H659" i="1" s="1"/>
  <c r="H663" i="1" s="1"/>
  <c r="I661" i="1"/>
  <c r="C123" i="2"/>
  <c r="C16" i="10"/>
  <c r="G649" i="1"/>
  <c r="H646" i="1"/>
  <c r="J649" i="1"/>
  <c r="C117" i="2"/>
  <c r="L228" i="1"/>
  <c r="J648" i="1"/>
  <c r="G33" i="13"/>
  <c r="L210" i="1"/>
  <c r="F659" i="1" s="1"/>
  <c r="F663" i="1" s="1"/>
  <c r="A22" i="12"/>
  <c r="F139" i="1"/>
  <c r="H618" i="1"/>
  <c r="J618" i="1" s="1"/>
  <c r="H59" i="1"/>
  <c r="E55" i="2" s="1"/>
  <c r="E62" i="2" s="1"/>
  <c r="D50" i="2"/>
  <c r="C80" i="2"/>
  <c r="C103" i="2" s="1"/>
  <c r="E77" i="2"/>
  <c r="E80" i="2" s="1"/>
  <c r="F103" i="2"/>
  <c r="L426" i="1"/>
  <c r="J256" i="1"/>
  <c r="J270" i="1" s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C39" i="10"/>
  <c r="L564" i="1"/>
  <c r="L570" i="1" s="1"/>
  <c r="G544" i="1"/>
  <c r="L544" i="1"/>
  <c r="H544" i="1"/>
  <c r="K550" i="1"/>
  <c r="F143" i="2"/>
  <c r="F144" i="2" s="1"/>
  <c r="L433" i="1" l="1"/>
  <c r="G637" i="1" s="1"/>
  <c r="J637" i="1" s="1"/>
  <c r="K551" i="1"/>
  <c r="C27" i="10"/>
  <c r="G634" i="1"/>
  <c r="J634" i="1" s="1"/>
  <c r="H671" i="1"/>
  <c r="C6" i="10" s="1"/>
  <c r="H666" i="1"/>
  <c r="C127" i="2"/>
  <c r="C28" i="10"/>
  <c r="D23" i="10" s="1"/>
  <c r="J646" i="1"/>
  <c r="L256" i="1"/>
  <c r="L270" i="1" s="1"/>
  <c r="G631" i="1" s="1"/>
  <c r="J631" i="1" s="1"/>
  <c r="H647" i="1"/>
  <c r="J647" i="1" s="1"/>
  <c r="F192" i="1"/>
  <c r="G626" i="1" s="1"/>
  <c r="J626" i="1" s="1"/>
  <c r="C35" i="10"/>
  <c r="H111" i="1"/>
  <c r="H192" i="1" s="1"/>
  <c r="G628" i="1" s="1"/>
  <c r="J628" i="1" s="1"/>
  <c r="E103" i="2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D15" i="10" l="1"/>
  <c r="D10" i="10"/>
  <c r="D26" i="10"/>
  <c r="D13" i="10"/>
  <c r="D25" i="10"/>
  <c r="D20" i="10"/>
  <c r="D18" i="10"/>
  <c r="D11" i="10"/>
  <c r="D17" i="10"/>
  <c r="D21" i="10"/>
  <c r="D12" i="10"/>
  <c r="D16" i="10"/>
  <c r="D19" i="10"/>
  <c r="D24" i="10"/>
  <c r="D27" i="10"/>
  <c r="C30" i="10"/>
  <c r="D22" i="10"/>
  <c r="C36" i="10"/>
  <c r="C41" i="10" s="1"/>
  <c r="D39" i="10" s="1"/>
  <c r="G636" i="1"/>
  <c r="J636" i="1" s="1"/>
  <c r="H645" i="1"/>
  <c r="J645" i="1" s="1"/>
  <c r="D33" i="13"/>
  <c r="D36" i="13" s="1"/>
  <c r="G663" i="1"/>
  <c r="I659" i="1"/>
  <c r="I663" i="1" s="1"/>
  <c r="D37" i="10"/>
  <c r="J625" i="1"/>
  <c r="H655" i="1"/>
  <c r="D28" i="10" l="1"/>
  <c r="D36" i="10"/>
  <c r="D38" i="10"/>
  <c r="D40" i="10"/>
  <c r="D35" i="10"/>
  <c r="I666" i="1"/>
  <c r="I671" i="1"/>
  <c r="C7" i="10" s="1"/>
  <c r="G671" i="1"/>
  <c r="C5" i="10" s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<sst xmlns="http://schemas.openxmlformats.org/spreadsheetml/2006/main" count="3945" uniqueCount="912">
  <si>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</si>
  <si>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</si>
  <si>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</si>
  <si>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</si>
  <si>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</si>
  <si>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</si>
  <si>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</si>
  <si>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</si>
  <si>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</si>
  <si>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</si>
  <si>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</si>
  <si>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</si>
  <si>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</si>
  <si>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</si>
  <si>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</si>
  <si>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</si>
  <si>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</si>
  <si>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</si>
  <si>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</si>
  <si>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</si>
  <si>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</si>
  <si>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</si>
  <si>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</si>
  <si>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</si>
  <si>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</si>
  <si>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</si>
  <si>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</si>
  <si>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</si>
  <si>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</si>
  <si>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</si>
  <si>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</si>
  <si>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</si>
  <si>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</si>
  <si>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</si>
  <si>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</si>
  <si>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</si>
  <si>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</si>
  <si>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</si>
  <si>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</si>
  <si>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</si>
  <si>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</si>
  <si>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</si>
  <si>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</si>
  <si>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</si>
  <si>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</si>
  <si>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</si>
  <si>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</si>
  <si>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</si>
  <si>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</si>
  <si>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</si>
  <si>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</si>
  <si>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</si>
  <si>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</si>
  <si>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</si>
  <si>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</si>
  <si>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</si>
  <si>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</si>
  <si>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</si>
  <si>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</si>
  <si>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</si>
  <si>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</si>
  <si>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</si>
  <si>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</si>
  <si>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</si>
  <si>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</si>
  <si>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</si>
  <si>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</si>
  <si>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</si>
  <si>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</si>
  <si>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</si>
  <si>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</si>
  <si>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</si>
  <si>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</si>
  <si>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</si>
  <si>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</si>
  <si>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</si>
  <si>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</si>
  <si>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</si>
  <si>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</si>
  <si>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</si>
  <si>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</si>
  <si>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</si>
  <si>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</si>
  <si>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</si>
  <si>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</si>
  <si>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</si>
  <si>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</si>
  <si>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</si>
  <si>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</si>
  <si>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</si>
  <si>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</si>
  <si>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</si>
  <si>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</si>
  <si>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</si>
  <si>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</si>
  <si>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</si>
  <si>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</si>
  <si>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</si>
  <si>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</si>
  <si>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</si>
  <si>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</si>
  <si>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</si>
  <si>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</si>
  <si>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</si>
  <si>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</si>
  <si>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</si>
  <si>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</si>
  <si>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</si>
  <si>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</si>
  <si>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</si>
  <si>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</si>
  <si>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</si>
  <si>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</si>
  <si>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</si>
  <si>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</si>
  <si>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</si>
  <si>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</si>
  <si>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</si>
  <si>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</si>
  <si>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</si>
  <si>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</si>
  <si>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</si>
  <si>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</si>
  <si>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</si>
  <si>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</si>
  <si>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</si>
  <si>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</si>
  <si>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</si>
  <si>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</si>
  <si>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</si>
  <si>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</si>
  <si>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</si>
  <si>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</si>
  <si>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</si>
  <si>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</si>
  <si>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</si>
  <si>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</si>
  <si>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</si>
  <si>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</si>
  <si>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</si>
  <si>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</si>
  <si>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</si>
  <si>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</si>
  <si>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</si>
  <si>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</si>
  <si>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</si>
  <si>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</si>
  <si>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</si>
  <si>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</si>
  <si>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</si>
  <si>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</si>
  <si>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</si>
  <si>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</si>
  <si>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</si>
  <si>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</si>
  <si>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</si>
  <si>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</si>
  <si>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</si>
  <si>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</si>
  <si>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</si>
  <si>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</si>
  <si>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</si>
  <si>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</si>
  <si>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</si>
  <si>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</si>
  <si>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</si>
  <si>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</si>
  <si>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</si>
  <si>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</si>
  <si>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</si>
  <si>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</si>
  <si>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</si>
  <si>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</si>
  <si>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</si>
  <si>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</si>
  <si>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</si>
  <si>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</si>
  <si>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</si>
  <si>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</si>
  <si>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</si>
  <si>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</si>
  <si>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</si>
  <si>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</si>
  <si>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</si>
  <si>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</si>
  <si>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</si>
  <si>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</si>
  <si>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</si>
  <si>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</si>
  <si>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</si>
  <si>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</si>
  <si>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</si>
  <si>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</si>
  <si>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</si>
  <si>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</si>
  <si>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</si>
  <si>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</si>
  <si>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</si>
  <si>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</si>
  <si>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</si>
  <si>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</si>
  <si>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</si>
  <si>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</si>
  <si>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</si>
  <si>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</si>
  <si>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</si>
  <si>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</si>
  <si>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</si>
  <si>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</si>
  <si>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</si>
  <si>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</si>
  <si>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</si>
  <si>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</si>
  <si>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</si>
  <si>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</si>
  <si>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</si>
  <si>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</si>
  <si>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</si>
  <si>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</si>
  <si>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</si>
  <si>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</si>
  <si>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</si>
  <si>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</si>
  <si>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</si>
  <si>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</si>
  <si>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</si>
  <si>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</si>
  <si>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</si>
  <si>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</si>
  <si>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</si>
  <si>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</si>
  <si>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</si>
  <si>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</si>
  <si>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</si>
  <si>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</si>
  <si>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</si>
  <si>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</si>
  <si>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</si>
  <si>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</si>
  <si>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</si>
  <si>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</si>
  <si>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</si>
  <si>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</si>
  <si>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</si>
  <si>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</si>
  <si>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</si>
  <si>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</si>
  <si>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</si>
  <si>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</si>
  <si>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</si>
  <si>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</si>
  <si>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</si>
  <si>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</si>
  <si>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</si>
  <si>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</si>
  <si>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</si>
  <si>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</si>
  <si>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</si>
  <si>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</si>
  <si>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</si>
  <si>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</si>
  <si>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</si>
  <si>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</si>
  <si>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</si>
  <si>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</si>
  <si>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</si>
  <si>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</si>
  <si>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</si>
  <si>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</si>
  <si>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</si>
  <si>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</si>
  <si>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</si>
  <si>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</si>
  <si>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</si>
  <si>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</si>
  <si>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</si>
  <si>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</si>
  <si>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</si>
  <si>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</si>
  <si>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</si>
  <si>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</si>
  <si>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</si>
  <si>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</si>
  <si>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</si>
  <si>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</si>
  <si>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</si>
  <si>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</si>
  <si>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</si>
  <si>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</si>
  <si>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</si>
  <si>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</si>
  <si>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</si>
  <si>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</si>
  <si>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</si>
  <si>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</si>
  <si>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</si>
  <si>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</si>
  <si>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</si>
  <si>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</si>
  <si>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</si>
  <si>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</si>
  <si>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</si>
  <si>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</si>
  <si>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</si>
  <si>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</si>
  <si>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</si>
  <si>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</si>
  <si>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</si>
  <si>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</si>
  <si>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</si>
  <si>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</si>
  <si>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</si>
  <si>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</si>
  <si>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</si>
  <si>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</si>
  <si>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</si>
  <si>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</si>
  <si>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</si>
  <si>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</si>
  <si>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</si>
  <si>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</si>
  <si>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</si>
  <si>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</si>
  <si>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</si>
  <si>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</si>
  <si>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</si>
  <si>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</si>
  <si>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</si>
  <si>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</si>
  <si>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</si>
  <si>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</si>
  <si>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</si>
  <si>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</si>
  <si>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</si>
  <si>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</si>
  <si>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</si>
  <si>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</si>
  <si>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</si>
  <si>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</si>
  <si>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</si>
  <si>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</si>
  <si>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</si>
  <si>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</si>
  <si>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</si>
  <si>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</si>
  <si>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</si>
  <si>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</si>
  <si>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</si>
  <si>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</si>
  <si>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</si>
  <si>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</si>
  <si>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</si>
  <si>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</si>
  <si>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</si>
  <si>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</si>
  <si>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</si>
  <si>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</si>
  <si>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</si>
  <si>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</si>
  <si>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</si>
  <si>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</si>
  <si>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</si>
  <si>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</si>
  <si>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</si>
  <si>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</si>
  <si>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</si>
  <si>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</si>
  <si>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</si>
  <si>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</si>
  <si>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</si>
  <si>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</si>
  <si>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</si>
  <si>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</si>
  <si>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</si>
  <si>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</si>
  <si>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</si>
  <si>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</si>
  <si>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</si>
  <si>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</si>
  <si>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</si>
  <si>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</si>
  <si>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</si>
  <si>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</si>
  <si>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</si>
  <si>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</si>
  <si>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</si>
  <si>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</si>
  <si>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</si>
  <si>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</si>
  <si>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</si>
  <si>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</si>
  <si>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</si>
  <si>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</si>
  <si>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</si>
  <si>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</si>
  <si>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</si>
  <si>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</si>
  <si>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</si>
  <si>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</si>
  <si>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</si>
  <si>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</si>
  <si>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</si>
  <si>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</si>
  <si>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</si>
  <si>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</si>
  <si>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</si>
  <si>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</si>
  <si>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</si>
  <si>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</si>
  <si>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</si>
  <si>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</si>
  <si>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</si>
  <si>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</si>
  <si>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</si>
  <si>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</si>
  <si>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</si>
  <si>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</si>
  <si>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</si>
  <si>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</si>
  <si>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</si>
  <si>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</si>
  <si>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</si>
  <si>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</si>
  <si>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</si>
  <si>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</si>
  <si>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</si>
  <si>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</si>
  <si>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</si>
  <si>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</si>
  <si>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</si>
  <si>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</si>
  <si>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</si>
  <si>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</si>
  <si>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</si>
  <si>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</si>
  <si>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</si>
  <si>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</si>
  <si>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</si>
  <si>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</si>
  <si>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</si>
  <si>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</si>
  <si>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</si>
  <si>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</si>
  <si>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</si>
  <si>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</si>
  <si>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</si>
  <si>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</si>
  <si>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</si>
  <si>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</si>
  <si>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</si>
  <si>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</si>
  <si>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</si>
  <si>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</si>
  <si>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</si>
  <si>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</si>
  <si>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</si>
  <si>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</si>
  <si>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</si>
  <si>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</si>
  <si>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</si>
  <si>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</si>
  <si>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</si>
  <si>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</si>
  <si>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</si>
  <si>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</si>
  <si>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</si>
  <si>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</si>
  <si>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</si>
  <si>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</si>
  <si>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</si>
  <si>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</si>
  <si>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</si>
  <si>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</si>
  <si>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</si>
  <si>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</si>
  <si>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</si>
  <si>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</si>
  <si>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</si>
  <si>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</si>
  <si>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</si>
  <si>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</si>
  <si>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</si>
  <si>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</si>
  <si>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</si>
  <si>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</si>
  <si>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</si>
  <si>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</si>
  <si>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</si>
  <si>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</si>
  <si>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</si>
  <si>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</si>
  <si>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</si>
  <si>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</si>
  <si>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</si>
  <si>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</si>
  <si>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</si>
  <si>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</si>
  <si>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</si>
  <si>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</si>
  <si>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</si>
  <si>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</si>
  <si>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</si>
  <si>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</si>
  <si>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</si>
  <si>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</si>
  <si>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</si>
  <si>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</si>
  <si>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</si>
  <si>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</si>
  <si>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</si>
  <si>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</si>
  <si>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</si>
  <si>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</si>
  <si>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</si>
  <si>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</si>
  <si>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</si>
  <si>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</si>
  <si>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</si>
  <si>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</si>
  <si>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</si>
  <si>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</si>
  <si>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</si>
  <si>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</si>
  <si>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</si>
  <si>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</si>
  <si>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</si>
  <si>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</si>
  <si>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</si>
  <si>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</si>
  <si>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</si>
  <si>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</si>
  <si>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</si>
  <si>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</si>
  <si>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</si>
  <si>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</si>
  <si>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</si>
  <si>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</si>
  <si>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</si>
  <si>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</si>
  <si>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</si>
  <si>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</si>
  <si>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</si>
  <si>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</si>
  <si>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</si>
  <si>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</si>
  <si>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</si>
  <si>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</si>
  <si>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</si>
  <si>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</si>
  <si>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</si>
  <si>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</si>
  <si>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</si>
  <si>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</si>
  <si>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</si>
  <si>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</si>
  <si>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</si>
  <si>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</si>
  <si>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</si>
  <si>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</si>
  <si>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</si>
  <si>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</si>
  <si>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</si>
  <si>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</si>
  <si>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</si>
  <si>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</si>
  <si>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</si>
  <si>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</si>
  <si>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</si>
  <si>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</si>
  <si>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</si>
  <si>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</si>
  <si>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</si>
  <si>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</si>
  <si>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</si>
  <si>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</si>
  <si>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</si>
  <si>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</si>
  <si>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</si>
  <si>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</si>
  <si>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</si>
  <si>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</si>
  <si>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</si>
  <si>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</si>
  <si>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</si>
  <si>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</si>
  <si>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</si>
  <si>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</si>
  <si>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</si>
  <si>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</si>
  <si>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</si>
  <si>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</si>
  <si>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</si>
  <si>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</si>
  <si>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</si>
  <si>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</si>
  <si>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</si>
  <si>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</si>
  <si>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</si>
  <si>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</si>
  <si>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</si>
  <si>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</si>
  <si>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</si>
  <si>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</si>
  <si>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</si>
  <si>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</si>
  <si>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</si>
  <si>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</si>
  <si>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</si>
  <si>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</si>
  <si>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</si>
  <si>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</si>
  <si>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</si>
  <si>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</si>
  <si>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</si>
  <si>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</si>
  <si>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</si>
  <si>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</si>
  <si>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</si>
  <si>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</si>
  <si>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</si>
  <si>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</si>
  <si>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</si>
  <si>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</si>
  <si>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</si>
  <si>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</si>
  <si>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</si>
  <si>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</si>
  <si>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</si>
  <si>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</si>
  <si>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</si>
  <si>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</si>
  <si>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</si>
  <si>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</si>
  <si>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</si>
  <si>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</si>
  <si>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</si>
  <si>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</si>
  <si>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</si>
  <si>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</si>
  <si>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</si>
  <si>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</si>
  <si>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</si>
  <si>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</si>
  <si>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</si>
  <si>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</si>
  <si>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</si>
  <si>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</si>
  <si>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</si>
  <si>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</si>
  <si>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</si>
  <si>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</si>
  <si>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</si>
  <si>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</si>
  <si>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</si>
  <si>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</si>
  <si>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</si>
  <si>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</si>
  <si>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</si>
  <si>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</si>
  <si>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</si>
  <si>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</si>
  <si>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</si>
  <si>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</si>
  <si>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</si>
  <si>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</si>
  <si>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</si>
  <si>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</si>
  <si>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</si>
  <si>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</si>
  <si>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</si>
  <si>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</si>
  <si>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</si>
  <si>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</si>
  <si>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</si>
  <si>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</si>
  <si>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</si>
  <si>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</si>
  <si>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</si>
  <si>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</si>
  <si>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</si>
  <si>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</si>
  <si>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</si>
  <si>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</si>
  <si>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</si>
  <si>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</si>
  <si>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</si>
  <si>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</si>
  <si>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</si>
  <si>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</si>
  <si>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</si>
  <si>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</si>
  <si>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</si>
  <si>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</si>
  <si>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</si>
  <si>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</si>
  <si>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</si>
  <si>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</si>
  <si>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</si>
  <si>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</si>
  <si>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</si>
  <si>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</si>
  <si>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</si>
  <si>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</si>
  <si>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</si>
  <si>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</si>
  <si>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</si>
  <si>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</si>
  <si>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</si>
  <si>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</si>
  <si>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</si>
  <si>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</si>
  <si>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</si>
  <si>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</si>
  <si>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</si>
  <si>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</si>
  <si>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</si>
  <si>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</si>
  <si>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</si>
  <si>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</si>
  <si>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</si>
  <si>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</si>
  <si>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</si>
  <si>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</si>
  <si>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</si>
  <si>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</si>
  <si>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</si>
  <si>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</si>
  <si>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</si>
  <si>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</si>
  <si>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</si>
  <si>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</si>
  <si>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</si>
  <si>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</si>
  <si>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</si>
  <si>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</si>
  <si>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</si>
  <si>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</si>
  <si>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</si>
  <si>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</si>
  <si>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</si>
  <si>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</si>
  <si>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</si>
  <si>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</si>
  <si>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</si>
  <si>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</si>
  <si>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</si>
  <si>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</si>
  <si>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</si>
  <si>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</si>
  <si>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</si>
  <si>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</si>
  <si>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</si>
  <si>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</si>
  <si>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</si>
  <si>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</si>
  <si>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</si>
  <si>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</si>
  <si>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</si>
  <si>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</si>
  <si>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</si>
  <si>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</si>
  <si>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</si>
  <si>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</si>
  <si>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</si>
  <si>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</si>
  <si>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</si>
  <si>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</si>
  <si>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</si>
  <si>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</si>
  <si>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</si>
  <si>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</si>
  <si>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</si>
  <si>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</si>
  <si>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</si>
  <si>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</si>
  <si>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</si>
  <si>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</si>
  <si>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</si>
  <si>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</si>
  <si>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</si>
  <si>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</si>
  <si>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</si>
  <si>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</si>
  <si>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</si>
  <si>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</si>
  <si>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</si>
  <si>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</si>
  <si>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</si>
  <si>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</si>
  <si>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</si>
  <si>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</si>
  <si>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</si>
  <si>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</si>
  <si>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</si>
  <si>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</si>
  <si>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</si>
  <si>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</si>
  <si>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</si>
  <si>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</si>
  <si>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</si>
  <si>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</si>
  <si>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</si>
  <si>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</si>
  <si>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</si>
  <si>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</si>
  <si>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</si>
  <si>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</si>
  <si>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</si>
  <si>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</si>
  <si>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</si>
  <si>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</si>
  <si>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</si>
  <si>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</si>
  <si>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</si>
  <si>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</si>
  <si>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</si>
  <si>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</si>
  <si>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</si>
  <si>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</si>
  <si>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</si>
  <si>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</si>
  <si>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</si>
  <si>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</si>
  <si>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</si>
  <si>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</si>
  <si>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</si>
  <si>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</si>
  <si>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</si>
  <si>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</si>
  <si>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</si>
  <si>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</si>
  <si>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</si>
  <si>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</si>
  <si>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</si>
  <si>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</si>
  <si>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</si>
  <si>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</si>
  <si>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</si>
  <si>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</si>
  <si>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</si>
  <si>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</si>
  <si>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</si>
  <si>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</si>
  <si>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</si>
  <si>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</si>
  <si>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</si>
  <si>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</si>
  <si>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</si>
  <si>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</si>
  <si>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</si>
  <si>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</si>
  <si>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</si>
  <si>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</si>
  <si>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</si>
  <si>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</si>
  <si>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</si>
  <si>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</si>
  <si>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</si>
  <si>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</si>
  <si>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</si>
  <si>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</si>
  <si>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</si>
  <si>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</si>
  <si>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</si>
  <si>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</si>
  <si>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</si>
  <si>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</si>
  <si>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</si>
  <si>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</si>
  <si>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</si>
  <si>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</si>
  <si>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</si>
  <si>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</si>
  <si>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</si>
  <si>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</si>
  <si>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</si>
  <si>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</si>
  <si>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</si>
  <si>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</si>
  <si>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</si>
  <si>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</si>
  <si>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</si>
  <si>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</si>
  <si>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</si>
  <si>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</si>
  <si>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</si>
  <si>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</si>
  <si>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</si>
  <si>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</si>
  <si>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</si>
  <si>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</si>
  <si>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</si>
  <si>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</si>
  <si>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</si>
  <si>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</si>
  <si>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</si>
  <si>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</si>
  <si>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</si>
  <si>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</si>
  <si>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</si>
  <si>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</si>
  <si>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</si>
  <si>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</si>
  <si>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</si>
  <si>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</si>
  <si>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</si>
  <si>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</si>
  <si>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</si>
  <si>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</si>
  <si>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5/29/08</t>
  </si>
  <si>
    <t>7/15/2013</t>
  </si>
  <si>
    <t>G-R-S 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</si>
</sst>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911</v>
      </c>
      <c r="B2" s="21">
        <v>203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250517.06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14211.39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63252.7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35858.35</v>
      </c>
      <c r="G13" s="18">
        <v>13956.52</v>
      </c>
      <c r="H13" s="18">
        <v>61211.66</v>
      </c>
      <c r="I13" s="18">
        <v>25668.01</v>
      </c>
      <c r="J13" s="67">
        <f>SUM(I441)</f>
        <v>727574.46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4292.49</v>
      </c>
      <c r="G14" s="18">
        <v>2453.6999999999998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368131.99</v>
      </c>
      <c r="G19" s="41">
        <f>SUM(G9:G18)</f>
        <v>16410.22</v>
      </c>
      <c r="H19" s="41">
        <f>SUM(H9:H18)</f>
        <v>61211.66</v>
      </c>
      <c r="I19" s="41">
        <f>SUM(I9:I18)</f>
        <v>25668.01</v>
      </c>
      <c r="J19" s="41">
        <f>SUM(J9:J18)</f>
        <v>727574.46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9681.56</v>
      </c>
      <c r="H22" s="18">
        <v>27903.13</v>
      </c>
      <c r="I22" s="18">
        <v>25668.01</v>
      </c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12259.37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31677.34</v>
      </c>
      <c r="G24" s="18"/>
      <c r="H24" s="18">
        <v>921.98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9067.75</v>
      </c>
      <c r="G28" s="18"/>
      <c r="H28" s="18">
        <v>75.760000000000005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75.23+664.14+32.7</f>
        <v>772.07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20051.419999999998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41517.159999999996</v>
      </c>
      <c r="G32" s="41">
        <f>SUM(G22:G31)</f>
        <v>9681.56</v>
      </c>
      <c r="H32" s="41">
        <f>SUM(H22:H31)</f>
        <v>61211.66</v>
      </c>
      <c r="I32" s="41">
        <f>SUM(I22:I31)</f>
        <v>25668.01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30129.52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132.04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6728.66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40000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697312.9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286614.83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326614.83</v>
      </c>
      <c r="G50" s="41">
        <f>SUM(G35:G49)</f>
        <v>6728.66</v>
      </c>
      <c r="H50" s="41">
        <f>SUM(H35:H49)</f>
        <v>0</v>
      </c>
      <c r="I50" s="41">
        <f>SUM(I35:I49)</f>
        <v>0</v>
      </c>
      <c r="J50" s="41">
        <f>SUM(J35:J49)</f>
        <v>727574.46000000008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368131.99</v>
      </c>
      <c r="G51" s="41">
        <f>G50+G32</f>
        <v>16410.22</v>
      </c>
      <c r="H51" s="41">
        <f>H50+H32</f>
        <v>61211.66</v>
      </c>
      <c r="I51" s="41">
        <f>I50+I32</f>
        <v>25668.01</v>
      </c>
      <c r="J51" s="41">
        <f>J50+J32</f>
        <v>727574.46000000008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3678298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3678298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650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26837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27487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1561.57</v>
      </c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1561.57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585.34</v>
      </c>
      <c r="G95" s="18"/>
      <c r="H95" s="18"/>
      <c r="I95" s="18"/>
      <c r="J95" s="18">
        <v>560.24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119352.24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3199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5230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24025.23</v>
      </c>
      <c r="I101" s="18"/>
      <c r="J101" s="18">
        <v>500</v>
      </c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1577</v>
      </c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41.97</v>
      </c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56649.3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224.91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7914.12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75421.64</v>
      </c>
      <c r="G110" s="41">
        <f>SUM(G95:G109)</f>
        <v>119352.24</v>
      </c>
      <c r="H110" s="41">
        <f>SUM(H95:H109)</f>
        <v>24025.23</v>
      </c>
      <c r="I110" s="41">
        <f>SUM(I95:I109)</f>
        <v>0</v>
      </c>
      <c r="J110" s="41">
        <f>SUM(J95:J109)</f>
        <v>1060.24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3782768.21</v>
      </c>
      <c r="G111" s="41">
        <f>G59+G110</f>
        <v>119352.24</v>
      </c>
      <c r="H111" s="41">
        <f>H59+H78+H93+H110</f>
        <v>24025.23</v>
      </c>
      <c r="I111" s="41">
        <f>I59+I110</f>
        <v>0</v>
      </c>
      <c r="J111" s="41">
        <f>J59+J110</f>
        <v>1060.24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2119910-F118</f>
        <v>2118074.83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828208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1835.17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2948118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622890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4131.12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2657.64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450</v>
      </c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>
        <v>12853.25</v>
      </c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627471.12</v>
      </c>
      <c r="G135" s="41">
        <f>SUM(G122:G134)</f>
        <v>15510.89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3575589.12</v>
      </c>
      <c r="G139" s="41">
        <f>G120+SUM(G135:G136)</f>
        <v>15510.89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28085.14</v>
      </c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93083.19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23906.31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87387.94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124606.36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91301.97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91301.97</v>
      </c>
      <c r="G161" s="41">
        <f>SUM(G149:G160)</f>
        <v>87387.94</v>
      </c>
      <c r="H161" s="41">
        <f>SUM(H149:H160)</f>
        <v>269681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30444.63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121746.6</v>
      </c>
      <c r="G168" s="41">
        <f>G146+G161+SUM(G162:G167)</f>
        <v>87387.94</v>
      </c>
      <c r="H168" s="41">
        <f>H146+H161+SUM(H162:H167)</f>
        <v>269681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86661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86661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216419.68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216419.68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398.28</v>
      </c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216817.96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86661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7696921.8899999997</v>
      </c>
      <c r="G192" s="47">
        <f>G111+G139+G168+G191</f>
        <v>222251.07</v>
      </c>
      <c r="H192" s="47">
        <f>H111+H139+H168+H191</f>
        <v>293706.23</v>
      </c>
      <c r="I192" s="47">
        <f>I111+I139+I168+I191</f>
        <v>0</v>
      </c>
      <c r="J192" s="47">
        <f>J111+J139+J191</f>
        <v>87721.24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700083.8+2035</f>
        <v>702118.8</v>
      </c>
      <c r="G196" s="18">
        <f>309596.32+254.83</f>
        <v>309851.15000000002</v>
      </c>
      <c r="H196" s="18">
        <f>3737.72</f>
        <v>3737.72</v>
      </c>
      <c r="I196" s="18">
        <v>29144.32</v>
      </c>
      <c r="J196" s="18"/>
      <c r="K196" s="18">
        <f>1353</f>
        <v>1353</v>
      </c>
      <c r="L196" s="19">
        <f>SUM(F196:K196)</f>
        <v>1046204.99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4408.68+202419.88</f>
        <v>206828.56</v>
      </c>
      <c r="G197" s="18">
        <f>373.98+155074</f>
        <v>155447.98000000001</v>
      </c>
      <c r="H197" s="18">
        <f>39993.12+47614.45</f>
        <v>87607.57</v>
      </c>
      <c r="I197" s="18">
        <f>173.61+2980.94</f>
        <v>3154.55</v>
      </c>
      <c r="J197" s="18"/>
      <c r="K197" s="18"/>
      <c r="L197" s="19">
        <f>SUM(F197:K197)</f>
        <v>453038.66000000003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11665.83</v>
      </c>
      <c r="G199" s="18">
        <v>1975.45</v>
      </c>
      <c r="H199" s="18">
        <v>15670.18</v>
      </c>
      <c r="I199" s="18"/>
      <c r="J199" s="18"/>
      <c r="K199" s="18">
        <v>110</v>
      </c>
      <c r="L199" s="19">
        <f>SUM(F199:K199)</f>
        <v>29421.46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132120.99</v>
      </c>
      <c r="G201" s="18">
        <v>61933.24</v>
      </c>
      <c r="H201" s="18">
        <v>185220.12</v>
      </c>
      <c r="I201" s="18">
        <v>3690.05</v>
      </c>
      <c r="J201" s="18"/>
      <c r="K201" s="18">
        <v>375</v>
      </c>
      <c r="L201" s="19">
        <f t="shared" ref="L201:L207" si="0">SUM(F201:K201)</f>
        <v>383339.39999999997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50905.67</v>
      </c>
      <c r="G202" s="18">
        <v>28384.560000000001</v>
      </c>
      <c r="H202" s="18">
        <v>8419.19</v>
      </c>
      <c r="I202" s="18">
        <v>5412.92</v>
      </c>
      <c r="J202" s="18"/>
      <c r="K202" s="18"/>
      <c r="L202" s="19">
        <f t="shared" si="0"/>
        <v>93122.34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5538.5</v>
      </c>
      <c r="G203" s="18">
        <v>443.84075999999993</v>
      </c>
      <c r="H203" s="18">
        <v>219403.5184</v>
      </c>
      <c r="I203" s="18">
        <v>716.70279999999991</v>
      </c>
      <c r="J203" s="18"/>
      <c r="K203" s="18">
        <v>1457.9714599999998</v>
      </c>
      <c r="L203" s="19">
        <f t="shared" si="0"/>
        <v>227560.53341999999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88752.39</v>
      </c>
      <c r="G204" s="18">
        <v>50577.99</v>
      </c>
      <c r="H204" s="18">
        <v>5304.46</v>
      </c>
      <c r="I204" s="18">
        <v>1871.91</v>
      </c>
      <c r="J204" s="18"/>
      <c r="K204" s="18">
        <v>3067</v>
      </c>
      <c r="L204" s="19">
        <f t="shared" si="0"/>
        <v>149573.75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72142.53</v>
      </c>
      <c r="G206" s="18">
        <v>49616.94</v>
      </c>
      <c r="H206" s="18">
        <v>26247.93</v>
      </c>
      <c r="I206" s="18">
        <v>61107.82</v>
      </c>
      <c r="J206" s="18">
        <v>1831.03</v>
      </c>
      <c r="K206" s="18">
        <v>43.05</v>
      </c>
      <c r="L206" s="19">
        <f t="shared" si="0"/>
        <v>210989.3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34054.69</v>
      </c>
      <c r="G207" s="18">
        <v>14020.88</v>
      </c>
      <c r="H207" s="18">
        <v>16628.509999999998</v>
      </c>
      <c r="I207" s="18">
        <v>13294.88</v>
      </c>
      <c r="J207" s="18">
        <v>913.56</v>
      </c>
      <c r="K207" s="18">
        <v>303.82</v>
      </c>
      <c r="L207" s="19">
        <f t="shared" si="0"/>
        <v>79216.340000000011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1304127.96</v>
      </c>
      <c r="G210" s="41">
        <f t="shared" si="1"/>
        <v>672252.03076000011</v>
      </c>
      <c r="H210" s="41">
        <f t="shared" si="1"/>
        <v>568239.19839999999</v>
      </c>
      <c r="I210" s="41">
        <f t="shared" si="1"/>
        <v>118393.15280000001</v>
      </c>
      <c r="J210" s="41">
        <f t="shared" si="1"/>
        <v>2744.59</v>
      </c>
      <c r="K210" s="41">
        <f t="shared" si="1"/>
        <v>6709.8414599999996</v>
      </c>
      <c r="L210" s="41">
        <f t="shared" si="1"/>
        <v>2672466.7734199995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356702.31</v>
      </c>
      <c r="G214" s="18">
        <v>162965.69</v>
      </c>
      <c r="H214" s="18">
        <v>18550.38</v>
      </c>
      <c r="I214" s="18">
        <v>15453.24</v>
      </c>
      <c r="J214" s="18">
        <v>1245.17</v>
      </c>
      <c r="K214" s="18">
        <v>3776</v>
      </c>
      <c r="L214" s="19">
        <f>SUM(F214:K214)</f>
        <v>558692.79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107007.77</v>
      </c>
      <c r="G215" s="18">
        <v>70057.05</v>
      </c>
      <c r="H215" s="18">
        <v>14819.9</v>
      </c>
      <c r="I215" s="18">
        <v>2170.79</v>
      </c>
      <c r="J215" s="18"/>
      <c r="K215" s="18"/>
      <c r="L215" s="19">
        <f>SUM(F215:K215)</f>
        <v>194055.51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19754.900000000001</v>
      </c>
      <c r="G217" s="18">
        <v>2739.61</v>
      </c>
      <c r="H217" s="18">
        <v>2123.1999999999998</v>
      </c>
      <c r="I217" s="18">
        <v>7367.66</v>
      </c>
      <c r="J217" s="18"/>
      <c r="K217" s="18">
        <v>650</v>
      </c>
      <c r="L217" s="19">
        <f>SUM(F217:K217)</f>
        <v>32635.370000000003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69476.72</v>
      </c>
      <c r="G219" s="18">
        <v>33351.01</v>
      </c>
      <c r="H219" s="18">
        <v>29164.69</v>
      </c>
      <c r="I219" s="18">
        <v>3111.57</v>
      </c>
      <c r="J219" s="18"/>
      <c r="K219" s="18">
        <v>559</v>
      </c>
      <c r="L219" s="19">
        <f t="shared" ref="L219:L225" si="2">SUM(F219:K219)</f>
        <v>135662.99000000002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24081.759999999998</v>
      </c>
      <c r="G220" s="18">
        <v>11026.9</v>
      </c>
      <c r="H220" s="18">
        <v>2387.5700000000002</v>
      </c>
      <c r="I220" s="18">
        <v>4460.71</v>
      </c>
      <c r="J220" s="18">
        <v>369.11</v>
      </c>
      <c r="K220" s="18">
        <v>714</v>
      </c>
      <c r="L220" s="19">
        <f t="shared" si="2"/>
        <v>43040.049999999996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2994.5</v>
      </c>
      <c r="G221" s="18">
        <v>239.97131999999999</v>
      </c>
      <c r="H221" s="18">
        <v>118624.86880000001</v>
      </c>
      <c r="I221" s="18">
        <v>387.49959999999999</v>
      </c>
      <c r="J221" s="18"/>
      <c r="K221" s="18">
        <v>788.28121999999996</v>
      </c>
      <c r="L221" s="19">
        <f t="shared" si="2"/>
        <v>123035.12094000001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78215.360000000001</v>
      </c>
      <c r="G222" s="18">
        <v>41077.14</v>
      </c>
      <c r="H222" s="18">
        <v>6073.6</v>
      </c>
      <c r="I222" s="18">
        <v>891.44</v>
      </c>
      <c r="J222" s="18">
        <v>53.95</v>
      </c>
      <c r="K222" s="18">
        <v>2967.6</v>
      </c>
      <c r="L222" s="19">
        <f t="shared" si="2"/>
        <v>129279.09000000001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47547.3</v>
      </c>
      <c r="G224" s="18">
        <v>30168.880000000001</v>
      </c>
      <c r="H224" s="18">
        <v>17748.57</v>
      </c>
      <c r="I224" s="18">
        <v>46558.94</v>
      </c>
      <c r="J224" s="18">
        <v>2709.56</v>
      </c>
      <c r="K224" s="18">
        <v>24.15</v>
      </c>
      <c r="L224" s="19">
        <f t="shared" si="2"/>
        <v>144757.4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20097.349999999999</v>
      </c>
      <c r="G225" s="18">
        <v>7984.9</v>
      </c>
      <c r="H225" s="18">
        <v>14264.01</v>
      </c>
      <c r="I225" s="18">
        <v>7200.91</v>
      </c>
      <c r="J225" s="18">
        <v>512.49</v>
      </c>
      <c r="K225" s="18">
        <v>170.43</v>
      </c>
      <c r="L225" s="19">
        <f t="shared" si="2"/>
        <v>50230.09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725877.97000000009</v>
      </c>
      <c r="G228" s="41">
        <f>SUM(G214:G227)</f>
        <v>359611.15132000006</v>
      </c>
      <c r="H228" s="41">
        <f>SUM(H214:H227)</f>
        <v>223756.78880000004</v>
      </c>
      <c r="I228" s="41">
        <f>SUM(I214:I227)</f>
        <v>87602.759600000005</v>
      </c>
      <c r="J228" s="41">
        <f>SUM(J214:J227)</f>
        <v>4890.28</v>
      </c>
      <c r="K228" s="41">
        <f t="shared" si="3"/>
        <v>9649.4612199999992</v>
      </c>
      <c r="L228" s="41">
        <f t="shared" si="3"/>
        <v>1411388.4109400001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607337.6</v>
      </c>
      <c r="G232" s="18">
        <v>264543.58</v>
      </c>
      <c r="H232" s="18">
        <v>12566.95</v>
      </c>
      <c r="I232" s="18">
        <v>41969.32</v>
      </c>
      <c r="J232" s="18">
        <v>9540.74</v>
      </c>
      <c r="K232" s="18">
        <v>7307</v>
      </c>
      <c r="L232" s="19">
        <f>SUM(F232:K232)</f>
        <v>943265.18999999983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135512.17000000001</v>
      </c>
      <c r="G233" s="18">
        <v>80063.199999999997</v>
      </c>
      <c r="H233" s="18">
        <v>139239.28</v>
      </c>
      <c r="I233" s="18">
        <v>2419.23</v>
      </c>
      <c r="J233" s="18"/>
      <c r="K233" s="18">
        <v>120</v>
      </c>
      <c r="L233" s="19">
        <f>SUM(F233:K233)</f>
        <v>357353.88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26352</v>
      </c>
      <c r="I234" s="18"/>
      <c r="J234" s="18"/>
      <c r="K234" s="18"/>
      <c r="L234" s="19">
        <f>SUM(F234:K234)</f>
        <v>26352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65731.62</v>
      </c>
      <c r="G235" s="18">
        <v>9270.17</v>
      </c>
      <c r="H235" s="18">
        <v>16204.19</v>
      </c>
      <c r="I235" s="18">
        <v>11204.01</v>
      </c>
      <c r="J235" s="18"/>
      <c r="K235" s="18">
        <v>7892.33</v>
      </c>
      <c r="L235" s="19">
        <f>SUM(F235:K235)</f>
        <v>110302.31999999999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99725.95</v>
      </c>
      <c r="G237" s="18">
        <v>48408.23</v>
      </c>
      <c r="H237" s="18">
        <v>24257.94</v>
      </c>
      <c r="I237" s="18">
        <v>3445.09</v>
      </c>
      <c r="J237" s="18">
        <v>1648.78</v>
      </c>
      <c r="K237" s="18">
        <v>236</v>
      </c>
      <c r="L237" s="19">
        <f t="shared" ref="L237:L243" si="4">SUM(F237:K237)</f>
        <v>177721.99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29131.98</v>
      </c>
      <c r="G238" s="18">
        <v>13164.66</v>
      </c>
      <c r="H238" s="18">
        <v>3682.24</v>
      </c>
      <c r="I238" s="18">
        <v>4614.12</v>
      </c>
      <c r="J238" s="18">
        <v>553.66999999999996</v>
      </c>
      <c r="K238" s="18">
        <v>1062</v>
      </c>
      <c r="L238" s="19">
        <f t="shared" si="4"/>
        <v>52208.67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4717</v>
      </c>
      <c r="G239" s="18">
        <v>378.00791999999996</v>
      </c>
      <c r="H239" s="18">
        <v>186860.41280000002</v>
      </c>
      <c r="I239" s="18">
        <v>610.3975999999999</v>
      </c>
      <c r="J239" s="18"/>
      <c r="K239" s="18">
        <v>1241.71732</v>
      </c>
      <c r="L239" s="19">
        <f t="shared" si="4"/>
        <v>193807.53564000002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116611.38</v>
      </c>
      <c r="G240" s="18">
        <v>61498.2</v>
      </c>
      <c r="H240" s="18">
        <v>9460.7099999999991</v>
      </c>
      <c r="I240" s="18">
        <v>2874.54</v>
      </c>
      <c r="J240" s="18">
        <v>81</v>
      </c>
      <c r="K240" s="18">
        <v>4374.3999999999996</v>
      </c>
      <c r="L240" s="19">
        <f t="shared" si="4"/>
        <v>194900.23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70117.279999999999</v>
      </c>
      <c r="G242" s="18">
        <v>44787.72</v>
      </c>
      <c r="H242" s="18">
        <v>27171.5</v>
      </c>
      <c r="I242" s="18">
        <v>69814.509999999995</v>
      </c>
      <c r="J242" s="18">
        <v>4275.2299999999996</v>
      </c>
      <c r="K242" s="18">
        <v>37.799999999999997</v>
      </c>
      <c r="L242" s="19">
        <f t="shared" si="4"/>
        <v>216204.04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56287.77</v>
      </c>
      <c r="G243" s="18">
        <v>15784.81</v>
      </c>
      <c r="H243" s="18">
        <v>12181.57</v>
      </c>
      <c r="I243" s="18">
        <v>20813.68</v>
      </c>
      <c r="J243" s="18">
        <v>802.15</v>
      </c>
      <c r="K243" s="18">
        <v>266.79000000000002</v>
      </c>
      <c r="L243" s="19">
        <f t="shared" si="4"/>
        <v>106136.76999999997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1185172.75</v>
      </c>
      <c r="G246" s="41">
        <f t="shared" si="5"/>
        <v>537898.57792000007</v>
      </c>
      <c r="H246" s="41">
        <f t="shared" si="5"/>
        <v>457976.79280000005</v>
      </c>
      <c r="I246" s="41">
        <f t="shared" si="5"/>
        <v>157764.8976</v>
      </c>
      <c r="J246" s="41">
        <f t="shared" si="5"/>
        <v>16901.57</v>
      </c>
      <c r="K246" s="41">
        <f t="shared" si="5"/>
        <v>22538.037319999999</v>
      </c>
      <c r="L246" s="41">
        <f t="shared" si="5"/>
        <v>2378252.6256399998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16736.45</v>
      </c>
      <c r="I254" s="18"/>
      <c r="J254" s="18"/>
      <c r="K254" s="18"/>
      <c r="L254" s="19">
        <f t="shared" si="6"/>
        <v>16736.45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16736.45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16736.45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3215178.68</v>
      </c>
      <c r="G256" s="41">
        <f t="shared" si="8"/>
        <v>1569761.7600000002</v>
      </c>
      <c r="H256" s="41">
        <f t="shared" si="8"/>
        <v>1266709.2300000002</v>
      </c>
      <c r="I256" s="41">
        <f t="shared" si="8"/>
        <v>363760.81000000006</v>
      </c>
      <c r="J256" s="41">
        <f t="shared" si="8"/>
        <v>24536.44</v>
      </c>
      <c r="K256" s="41">
        <f t="shared" si="8"/>
        <v>38897.339999999997</v>
      </c>
      <c r="L256" s="41">
        <f t="shared" si="8"/>
        <v>6478844.2599999988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1080238.23</v>
      </c>
      <c r="L259" s="19">
        <f>SUM(F259:K259)</f>
        <v>1080238.23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81306.77</v>
      </c>
      <c r="L260" s="19">
        <f>SUM(F260:K260)</f>
        <v>81306.77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86661</v>
      </c>
      <c r="L265" s="19">
        <f t="shared" si="9"/>
        <v>86661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10180</v>
      </c>
      <c r="L267" s="19">
        <f t="shared" si="9"/>
        <v>10180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1258386</v>
      </c>
      <c r="L269" s="41">
        <f t="shared" si="9"/>
        <v>1258386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3215178.68</v>
      </c>
      <c r="G270" s="42">
        <f t="shared" si="11"/>
        <v>1569761.7600000002</v>
      </c>
      <c r="H270" s="42">
        <f t="shared" si="11"/>
        <v>1266709.2300000002</v>
      </c>
      <c r="I270" s="42">
        <f t="shared" si="11"/>
        <v>363760.81000000006</v>
      </c>
      <c r="J270" s="42">
        <f t="shared" si="11"/>
        <v>24536.44</v>
      </c>
      <c r="K270" s="42">
        <f t="shared" si="11"/>
        <v>1297283.3400000001</v>
      </c>
      <c r="L270" s="42">
        <f t="shared" si="11"/>
        <v>7737230.2599999988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46961.62</v>
      </c>
      <c r="G275" s="18">
        <v>25919.16</v>
      </c>
      <c r="H275" s="18"/>
      <c r="I275" s="18">
        <v>1333.42</v>
      </c>
      <c r="J275" s="18">
        <v>19949.830000000002</v>
      </c>
      <c r="K275" s="18"/>
      <c r="L275" s="19">
        <f>SUM(F275:K275)</f>
        <v>94164.03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42686.04</v>
      </c>
      <c r="G276" s="18">
        <v>370.91</v>
      </c>
      <c r="H276" s="18"/>
      <c r="I276" s="18">
        <v>1055.77</v>
      </c>
      <c r="J276" s="18">
        <v>1092.8</v>
      </c>
      <c r="K276" s="18"/>
      <c r="L276" s="19">
        <f>SUM(F276:K276)</f>
        <v>45205.520000000004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>
        <v>7160</v>
      </c>
      <c r="L278" s="19">
        <f>SUM(F278:K278)</f>
        <v>7160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175</v>
      </c>
      <c r="G280" s="18">
        <v>30.19</v>
      </c>
      <c r="H280" s="18">
        <v>563</v>
      </c>
      <c r="I280" s="18">
        <v>418.47</v>
      </c>
      <c r="J280" s="18"/>
      <c r="K280" s="18"/>
      <c r="L280" s="19">
        <f t="shared" ref="L280:L286" si="12">SUM(F280:K280)</f>
        <v>1186.6600000000001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4050</v>
      </c>
      <c r="G281" s="18">
        <v>724.89</v>
      </c>
      <c r="H281" s="18">
        <v>8863.23</v>
      </c>
      <c r="I281" s="18"/>
      <c r="J281" s="18"/>
      <c r="K281" s="18">
        <v>11470</v>
      </c>
      <c r="L281" s="19">
        <f t="shared" si="12"/>
        <v>25108.12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93872.66</v>
      </c>
      <c r="G289" s="42">
        <f t="shared" si="13"/>
        <v>27045.149999999998</v>
      </c>
      <c r="H289" s="42">
        <f t="shared" si="13"/>
        <v>9426.23</v>
      </c>
      <c r="I289" s="42">
        <f t="shared" si="13"/>
        <v>2807.66</v>
      </c>
      <c r="J289" s="42">
        <f t="shared" si="13"/>
        <v>21042.63</v>
      </c>
      <c r="K289" s="42">
        <f t="shared" si="13"/>
        <v>18630</v>
      </c>
      <c r="L289" s="41">
        <f t="shared" si="13"/>
        <v>172824.33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>
        <v>12859.86</v>
      </c>
      <c r="I294" s="18"/>
      <c r="J294" s="18">
        <v>1583.85</v>
      </c>
      <c r="K294" s="18">
        <v>1000</v>
      </c>
      <c r="L294" s="19">
        <f>SUM(F294:K294)</f>
        <v>15443.710000000001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38006.81</v>
      </c>
      <c r="G295" s="18"/>
      <c r="H295" s="18"/>
      <c r="I295" s="18">
        <v>714.18</v>
      </c>
      <c r="J295" s="18"/>
      <c r="K295" s="18"/>
      <c r="L295" s="19">
        <f>SUM(F295:K295)</f>
        <v>38720.99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4475</v>
      </c>
      <c r="G300" s="18">
        <v>803.09</v>
      </c>
      <c r="H300" s="18">
        <v>1799.99</v>
      </c>
      <c r="I300" s="18">
        <v>1682.68</v>
      </c>
      <c r="J300" s="18">
        <v>30.3</v>
      </c>
      <c r="K300" s="18"/>
      <c r="L300" s="19">
        <f t="shared" si="14"/>
        <v>8791.06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42481.81</v>
      </c>
      <c r="G308" s="42">
        <f t="shared" si="15"/>
        <v>803.09</v>
      </c>
      <c r="H308" s="42">
        <f t="shared" si="15"/>
        <v>14659.85</v>
      </c>
      <c r="I308" s="42">
        <f t="shared" si="15"/>
        <v>2396.86</v>
      </c>
      <c r="J308" s="42">
        <f t="shared" si="15"/>
        <v>1614.1499999999999</v>
      </c>
      <c r="K308" s="42">
        <f t="shared" si="15"/>
        <v>1000</v>
      </c>
      <c r="L308" s="41">
        <f t="shared" si="15"/>
        <v>62955.759999999995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>
        <v>365.25</v>
      </c>
      <c r="K313" s="18">
        <v>400</v>
      </c>
      <c r="L313" s="19">
        <f>SUM(F313:K313)</f>
        <v>765.25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28942.1</v>
      </c>
      <c r="G314" s="18">
        <v>18.38</v>
      </c>
      <c r="H314" s="18">
        <v>752.16</v>
      </c>
      <c r="I314" s="18">
        <v>141.25</v>
      </c>
      <c r="J314" s="18"/>
      <c r="K314" s="18"/>
      <c r="L314" s="19">
        <f>SUM(F314:K314)</f>
        <v>29853.89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1767</v>
      </c>
      <c r="G316" s="18">
        <v>357.12</v>
      </c>
      <c r="H316" s="18">
        <v>1331.94</v>
      </c>
      <c r="I316" s="18">
        <v>241.77</v>
      </c>
      <c r="J316" s="18"/>
      <c r="K316" s="18"/>
      <c r="L316" s="19">
        <f>SUM(F316:K316)</f>
        <v>3697.83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1750</v>
      </c>
      <c r="G318" s="18">
        <v>139.66</v>
      </c>
      <c r="H318" s="18"/>
      <c r="I318" s="18">
        <v>454.55</v>
      </c>
      <c r="J318" s="18"/>
      <c r="K318" s="18"/>
      <c r="L318" s="19">
        <f t="shared" ref="L318:L324" si="16">SUM(F318:K318)</f>
        <v>2344.21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3073.16</v>
      </c>
      <c r="G319" s="18">
        <v>478.62</v>
      </c>
      <c r="H319" s="18">
        <v>2700.01</v>
      </c>
      <c r="I319" s="18">
        <v>2574.0300000000002</v>
      </c>
      <c r="J319" s="18">
        <v>45.46</v>
      </c>
      <c r="K319" s="18"/>
      <c r="L319" s="19">
        <f t="shared" si="16"/>
        <v>8871.2799999999988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35532.259999999995</v>
      </c>
      <c r="G327" s="42">
        <f t="shared" si="17"/>
        <v>993.78</v>
      </c>
      <c r="H327" s="42">
        <f t="shared" si="17"/>
        <v>4784.1100000000006</v>
      </c>
      <c r="I327" s="42">
        <f t="shared" si="17"/>
        <v>3411.6000000000004</v>
      </c>
      <c r="J327" s="42">
        <f t="shared" si="17"/>
        <v>410.71</v>
      </c>
      <c r="K327" s="42">
        <f t="shared" si="17"/>
        <v>400</v>
      </c>
      <c r="L327" s="41">
        <f t="shared" si="17"/>
        <v>45532.46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171886.72999999998</v>
      </c>
      <c r="G337" s="41">
        <f t="shared" si="20"/>
        <v>28842.019999999997</v>
      </c>
      <c r="H337" s="41">
        <f t="shared" si="20"/>
        <v>28870.190000000002</v>
      </c>
      <c r="I337" s="41">
        <f t="shared" si="20"/>
        <v>8616.1200000000008</v>
      </c>
      <c r="J337" s="41">
        <f t="shared" si="20"/>
        <v>23067.49</v>
      </c>
      <c r="K337" s="41">
        <f t="shared" si="20"/>
        <v>20030</v>
      </c>
      <c r="L337" s="41">
        <f t="shared" si="20"/>
        <v>281312.55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12393.68</v>
      </c>
      <c r="L349" s="19">
        <f t="shared" si="21"/>
        <v>12393.68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12393.68</v>
      </c>
      <c r="L350" s="41">
        <f>SUM(L340:L349)</f>
        <v>12393.68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171886.72999999998</v>
      </c>
      <c r="G351" s="41">
        <f>G337</f>
        <v>28842.019999999997</v>
      </c>
      <c r="H351" s="41">
        <f>H337</f>
        <v>28870.190000000002</v>
      </c>
      <c r="I351" s="41">
        <f>I337</f>
        <v>8616.1200000000008</v>
      </c>
      <c r="J351" s="41">
        <f>J337</f>
        <v>23067.49</v>
      </c>
      <c r="K351" s="47">
        <f>K337+K350</f>
        <v>32423.68</v>
      </c>
      <c r="L351" s="41">
        <f>L337+L350</f>
        <v>293706.23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f>205263.8*0.397</f>
        <v>81489.728600000002</v>
      </c>
      <c r="I357" s="18">
        <f>12853.25*0.397</f>
        <v>5102.7402499999998</v>
      </c>
      <c r="J357" s="18"/>
      <c r="K357" s="18"/>
      <c r="L357" s="13">
        <f>SUM(F357:K357)</f>
        <v>86592.468850000005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>
        <f>205263.8*0.239</f>
        <v>49058.048199999997</v>
      </c>
      <c r="I358" s="18">
        <f>12853.25*0.239</f>
        <v>3071.9267500000001</v>
      </c>
      <c r="J358" s="18"/>
      <c r="K358" s="18"/>
      <c r="L358" s="19">
        <f>SUM(F358:K358)</f>
        <v>52129.974949999996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f>205263.8*0.364</f>
        <v>74716.023199999996</v>
      </c>
      <c r="I359" s="18">
        <f>12853.25*0.364</f>
        <v>4678.5829999999996</v>
      </c>
      <c r="J359" s="18"/>
      <c r="K359" s="18"/>
      <c r="L359" s="19">
        <f>SUM(F359:K359)</f>
        <v>79394.606199999995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205263.8</v>
      </c>
      <c r="I361" s="47">
        <f t="shared" si="22"/>
        <v>12853.25</v>
      </c>
      <c r="J361" s="47">
        <f t="shared" si="22"/>
        <v>0</v>
      </c>
      <c r="K361" s="47">
        <f t="shared" si="22"/>
        <v>0</v>
      </c>
      <c r="L361" s="47">
        <f t="shared" si="22"/>
        <v>218117.05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12853.25*0.397</f>
        <v>5102.7402499999998</v>
      </c>
      <c r="G366" s="18">
        <f>12853.25*0.239</f>
        <v>3071.9267500000001</v>
      </c>
      <c r="H366" s="18">
        <f>12853.25*0.364</f>
        <v>4678.5829999999996</v>
      </c>
      <c r="I366" s="56">
        <f>SUM(F366:H366)</f>
        <v>12853.25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5102.7402499999998</v>
      </c>
      <c r="G368" s="47">
        <f>SUM(G366:G367)</f>
        <v>3071.9267500000001</v>
      </c>
      <c r="H368" s="47">
        <f>SUM(H366:H367)</f>
        <v>4678.5829999999996</v>
      </c>
      <c r="I368" s="47">
        <f>SUM(I366:I367)</f>
        <v>12853.25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>
        <v>30661</v>
      </c>
      <c r="H387" s="18">
        <v>342.58</v>
      </c>
      <c r="I387" s="18"/>
      <c r="J387" s="24" t="s">
        <v>289</v>
      </c>
      <c r="K387" s="24" t="s">
        <v>289</v>
      </c>
      <c r="L387" s="56">
        <f t="shared" si="25"/>
        <v>31003.58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>
        <v>37.619999999999997</v>
      </c>
      <c r="I389" s="18"/>
      <c r="J389" s="24" t="s">
        <v>289</v>
      </c>
      <c r="K389" s="24" t="s">
        <v>289</v>
      </c>
      <c r="L389" s="56">
        <f t="shared" si="25"/>
        <v>37.619999999999997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30661</v>
      </c>
      <c r="H392" s="139">
        <f>SUM(H386:H391)</f>
        <v>380.2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31041.200000000001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20000</v>
      </c>
      <c r="H397" s="18">
        <v>76.97</v>
      </c>
      <c r="I397" s="18"/>
      <c r="J397" s="24" t="s">
        <v>289</v>
      </c>
      <c r="K397" s="24" t="s">
        <v>289</v>
      </c>
      <c r="L397" s="56">
        <f t="shared" si="26"/>
        <v>20076.97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20500</v>
      </c>
      <c r="H398" s="18">
        <v>28.5</v>
      </c>
      <c r="I398" s="18"/>
      <c r="J398" s="24" t="s">
        <v>289</v>
      </c>
      <c r="K398" s="24" t="s">
        <v>289</v>
      </c>
      <c r="L398" s="56">
        <f t="shared" si="26"/>
        <v>20528.5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15500</v>
      </c>
      <c r="H399" s="18">
        <v>74.569999999999993</v>
      </c>
      <c r="I399" s="18">
        <v>500</v>
      </c>
      <c r="J399" s="24" t="s">
        <v>289</v>
      </c>
      <c r="K399" s="24" t="s">
        <v>289</v>
      </c>
      <c r="L399" s="56">
        <f t="shared" si="26"/>
        <v>16074.57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56000</v>
      </c>
      <c r="H400" s="47">
        <f>SUM(H394:H399)</f>
        <v>180.04</v>
      </c>
      <c r="I400" s="47">
        <f>SUM(I394:I399)</f>
        <v>500</v>
      </c>
      <c r="J400" s="45" t="s">
        <v>289</v>
      </c>
      <c r="K400" s="45" t="s">
        <v>289</v>
      </c>
      <c r="L400" s="47">
        <f>SUM(L394:L399)</f>
        <v>56680.04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86661</v>
      </c>
      <c r="H407" s="47">
        <f>H392+H400+H406</f>
        <v>560.24</v>
      </c>
      <c r="I407" s="47">
        <f>I392+I400+I406</f>
        <v>500</v>
      </c>
      <c r="J407" s="24" t="s">
        <v>289</v>
      </c>
      <c r="K407" s="24" t="s">
        <v>289</v>
      </c>
      <c r="L407" s="47">
        <f>L392+L400+L406</f>
        <v>87721.24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>
        <v>247129.66</v>
      </c>
      <c r="L413" s="56">
        <f t="shared" si="27"/>
        <v>247129.66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247129.66</v>
      </c>
      <c r="L418" s="47">
        <f t="shared" si="28"/>
        <v>247129.66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>
        <v>1250</v>
      </c>
      <c r="L425" s="56">
        <f t="shared" si="29"/>
        <v>1250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1250</v>
      </c>
      <c r="L426" s="47">
        <f t="shared" si="30"/>
        <v>1250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248379.66</v>
      </c>
      <c r="L433" s="47">
        <f t="shared" si="32"/>
        <v>248379.66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477655.56</v>
      </c>
      <c r="G441" s="18">
        <v>249918.9</v>
      </c>
      <c r="H441" s="18"/>
      <c r="I441" s="56">
        <f t="shared" si="33"/>
        <v>727574.46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477655.56</v>
      </c>
      <c r="G445" s="13">
        <f>SUM(G438:G444)</f>
        <v>249918.9</v>
      </c>
      <c r="H445" s="13">
        <f>SUM(H438:H444)</f>
        <v>0</v>
      </c>
      <c r="I445" s="13">
        <f>SUM(I438:I444)</f>
        <v>727574.46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>
        <v>30129.52</v>
      </c>
      <c r="H456" s="18"/>
      <c r="I456" s="56">
        <f t="shared" si="34"/>
        <v>30129.52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>
        <v>132.04</v>
      </c>
      <c r="H457" s="18"/>
      <c r="I457" s="56">
        <f t="shared" si="34"/>
        <v>132.04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477655.56</v>
      </c>
      <c r="G458" s="18">
        <v>219657.34</v>
      </c>
      <c r="H458" s="18"/>
      <c r="I458" s="56">
        <f t="shared" si="34"/>
        <v>697312.9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477655.56</v>
      </c>
      <c r="G459" s="83">
        <f>SUM(G453:G458)</f>
        <v>249918.9</v>
      </c>
      <c r="H459" s="83">
        <f>SUM(H453:H458)</f>
        <v>0</v>
      </c>
      <c r="I459" s="83">
        <f>SUM(I453:I458)</f>
        <v>727574.46000000008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477655.56</v>
      </c>
      <c r="G460" s="42">
        <f>G451+G459</f>
        <v>249918.9</v>
      </c>
      <c r="H460" s="42">
        <f>H451+H459</f>
        <v>0</v>
      </c>
      <c r="I460" s="42">
        <f>I451+I459</f>
        <v>727574.46000000008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366923.2</v>
      </c>
      <c r="G464" s="18">
        <v>2594.64</v>
      </c>
      <c r="H464" s="18">
        <v>0</v>
      </c>
      <c r="I464" s="18">
        <v>0</v>
      </c>
      <c r="J464" s="18">
        <v>888232.88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7696921.8899999997</v>
      </c>
      <c r="G467" s="18">
        <v>222251.07</v>
      </c>
      <c r="H467" s="18">
        <v>293706.23</v>
      </c>
      <c r="I467" s="18">
        <v>0</v>
      </c>
      <c r="J467" s="18">
        <v>87721.24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7696921.8899999997</v>
      </c>
      <c r="G469" s="53">
        <f>SUM(G467:G468)</f>
        <v>222251.07</v>
      </c>
      <c r="H469" s="53">
        <f>SUM(H467:H468)</f>
        <v>293706.23</v>
      </c>
      <c r="I469" s="53">
        <f>SUM(I467:I468)</f>
        <v>0</v>
      </c>
      <c r="J469" s="53">
        <f>SUM(J467:J468)</f>
        <v>87721.24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7737230.2599999998</v>
      </c>
      <c r="G471" s="18">
        <v>218117.05</v>
      </c>
      <c r="H471" s="18">
        <v>293706.23</v>
      </c>
      <c r="I471" s="18">
        <v>0</v>
      </c>
      <c r="J471" s="18">
        <v>248379.66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7737230.2599999998</v>
      </c>
      <c r="G473" s="53">
        <f>SUM(G471:G472)</f>
        <v>218117.05</v>
      </c>
      <c r="H473" s="53">
        <f>SUM(H471:H472)</f>
        <v>293706.23</v>
      </c>
      <c r="I473" s="53">
        <f>SUM(I471:I472)</f>
        <v>0</v>
      </c>
      <c r="J473" s="53">
        <f>SUM(J471:J472)</f>
        <v>248379.66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326614.83000000007</v>
      </c>
      <c r="G475" s="53">
        <f>(G464+G469)- G473</f>
        <v>6728.6600000000326</v>
      </c>
      <c r="H475" s="53">
        <f>(H464+H469)- H473</f>
        <v>0</v>
      </c>
      <c r="I475" s="53">
        <f>(I464+I469)- I473</f>
        <v>0</v>
      </c>
      <c r="J475" s="53">
        <f>(J464+J469)- J473</f>
        <v>727574.46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5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5385000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3.14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3145113.53</v>
      </c>
      <c r="G494" s="18"/>
      <c r="H494" s="18"/>
      <c r="I494" s="18"/>
      <c r="J494" s="18"/>
      <c r="K494" s="53">
        <f>SUM(F494:J494)</f>
        <v>3145113.53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1080238.23</v>
      </c>
      <c r="G496" s="18"/>
      <c r="H496" s="18"/>
      <c r="I496" s="18"/>
      <c r="J496" s="18"/>
      <c r="K496" s="53">
        <f t="shared" si="35"/>
        <v>1080238.23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F494-F496</f>
        <v>2064875.2999999998</v>
      </c>
      <c r="G497" s="205"/>
      <c r="H497" s="205"/>
      <c r="I497" s="205"/>
      <c r="J497" s="205"/>
      <c r="K497" s="206">
        <f t="shared" si="35"/>
        <v>2064875.2999999998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63438</v>
      </c>
      <c r="G498" s="18"/>
      <c r="H498" s="18"/>
      <c r="I498" s="18"/>
      <c r="J498" s="18"/>
      <c r="K498" s="53">
        <f t="shared" si="35"/>
        <v>63438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2128313.2999999998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2128313.2999999998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1077000</v>
      </c>
      <c r="G500" s="205"/>
      <c r="H500" s="205"/>
      <c r="I500" s="205"/>
      <c r="J500" s="205"/>
      <c r="K500" s="206">
        <f t="shared" si="35"/>
        <v>1077000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47928</v>
      </c>
      <c r="G501" s="18"/>
      <c r="H501" s="18"/>
      <c r="I501" s="18"/>
      <c r="J501" s="18"/>
      <c r="K501" s="53">
        <f t="shared" si="35"/>
        <v>47928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1124928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1124928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80020.36</v>
      </c>
      <c r="G506" s="144">
        <v>17113.39</v>
      </c>
      <c r="H506" s="144"/>
      <c r="I506" s="144">
        <f>F506+G506</f>
        <v>97133.75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>
        <v>764750</v>
      </c>
      <c r="G510" s="24" t="s">
        <v>289</v>
      </c>
      <c r="H510" s="18">
        <v>764750</v>
      </c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2476064</v>
      </c>
      <c r="G512" s="24" t="s">
        <v>289</v>
      </c>
      <c r="H512" s="18">
        <v>8764188</v>
      </c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>
        <v>442777</v>
      </c>
      <c r="G513" s="24" t="s">
        <v>289</v>
      </c>
      <c r="H513" s="18">
        <v>391593</v>
      </c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>
        <v>6404303</v>
      </c>
      <c r="G514" s="24" t="s">
        <v>289</v>
      </c>
      <c r="H514" s="18">
        <v>0</v>
      </c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10087894</v>
      </c>
      <c r="G516" s="42">
        <f>SUM(G510:G515)</f>
        <v>0</v>
      </c>
      <c r="H516" s="42">
        <f>SUM(H510:H515)</f>
        <v>9920531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259393.87</v>
      </c>
      <c r="G520" s="18">
        <v>157479.25</v>
      </c>
      <c r="H520" s="18">
        <v>103221.75</v>
      </c>
      <c r="I520" s="18">
        <v>4210.32</v>
      </c>
      <c r="J520" s="18">
        <v>1092.8</v>
      </c>
      <c r="K520" s="18">
        <v>110</v>
      </c>
      <c r="L520" s="88">
        <f>SUM(F520:K520)</f>
        <v>525507.99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148848.94</v>
      </c>
      <c r="G521" s="18">
        <v>70471.3</v>
      </c>
      <c r="H521" s="18">
        <v>14819.9</v>
      </c>
      <c r="I521" s="18">
        <v>2884.97</v>
      </c>
      <c r="J521" s="18">
        <v>0</v>
      </c>
      <c r="K521" s="18">
        <v>0</v>
      </c>
      <c r="L521" s="88">
        <f>SUM(F521:K521)</f>
        <v>237025.11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170438.21</v>
      </c>
      <c r="G522" s="18">
        <v>81017.960000000006</v>
      </c>
      <c r="H522" s="18">
        <v>140215.64000000001</v>
      </c>
      <c r="I522" s="18">
        <v>2697.37</v>
      </c>
      <c r="J522" s="18">
        <v>0</v>
      </c>
      <c r="K522" s="18">
        <v>120</v>
      </c>
      <c r="L522" s="88">
        <f>SUM(F522:K522)</f>
        <v>394489.18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578681.02</v>
      </c>
      <c r="G523" s="108">
        <f t="shared" ref="G523:L523" si="36">SUM(G520:G522)</f>
        <v>308968.51</v>
      </c>
      <c r="H523" s="108">
        <f t="shared" si="36"/>
        <v>258257.29</v>
      </c>
      <c r="I523" s="108">
        <f t="shared" si="36"/>
        <v>9792.66</v>
      </c>
      <c r="J523" s="108">
        <f t="shared" si="36"/>
        <v>1092.8</v>
      </c>
      <c r="K523" s="108">
        <f t="shared" si="36"/>
        <v>230</v>
      </c>
      <c r="L523" s="89">
        <f t="shared" si="36"/>
        <v>1157022.28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54518.27</v>
      </c>
      <c r="G525" s="18">
        <v>28402.3</v>
      </c>
      <c r="H525" s="18">
        <v>188979.47</v>
      </c>
      <c r="I525" s="18">
        <v>550.97</v>
      </c>
      <c r="J525" s="18">
        <v>0</v>
      </c>
      <c r="K525" s="18">
        <v>260</v>
      </c>
      <c r="L525" s="88">
        <f>SUM(F525:K525)</f>
        <v>272711.00999999995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7236.33</v>
      </c>
      <c r="G526" s="18">
        <v>2119.73</v>
      </c>
      <c r="H526" s="18">
        <v>26857.77</v>
      </c>
      <c r="I526" s="18">
        <v>0</v>
      </c>
      <c r="J526" s="18">
        <v>0</v>
      </c>
      <c r="K526" s="18">
        <v>0</v>
      </c>
      <c r="L526" s="88">
        <f>SUM(F526:K526)</f>
        <v>36213.83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7983.97</v>
      </c>
      <c r="G527" s="18">
        <v>1766.32</v>
      </c>
      <c r="H527" s="18">
        <v>20393.2</v>
      </c>
      <c r="I527" s="18">
        <v>0</v>
      </c>
      <c r="J527" s="18">
        <v>0</v>
      </c>
      <c r="K527" s="18">
        <v>0</v>
      </c>
      <c r="L527" s="88">
        <f>SUM(F527:K527)</f>
        <v>30143.49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69738.569999999992</v>
      </c>
      <c r="G528" s="89">
        <f t="shared" ref="G528:L528" si="37">SUM(G525:G527)</f>
        <v>32288.35</v>
      </c>
      <c r="H528" s="89">
        <f t="shared" si="37"/>
        <v>236230.44</v>
      </c>
      <c r="I528" s="89">
        <f t="shared" si="37"/>
        <v>550.97</v>
      </c>
      <c r="J528" s="89">
        <f t="shared" si="37"/>
        <v>0</v>
      </c>
      <c r="K528" s="89">
        <f t="shared" si="37"/>
        <v>260</v>
      </c>
      <c r="L528" s="89">
        <f t="shared" si="37"/>
        <v>339068.32999999996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43374.239999999998</v>
      </c>
      <c r="I530" s="18"/>
      <c r="J530" s="18"/>
      <c r="K530" s="18"/>
      <c r="L530" s="88">
        <f>SUM(F530:K530)</f>
        <v>43374.239999999998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>
        <v>21986.21</v>
      </c>
      <c r="I531" s="18"/>
      <c r="J531" s="18"/>
      <c r="K531" s="18"/>
      <c r="L531" s="88">
        <f>SUM(F531:K531)</f>
        <v>21986.21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38083.730000000003</v>
      </c>
      <c r="I532" s="18"/>
      <c r="J532" s="18"/>
      <c r="K532" s="18"/>
      <c r="L532" s="88">
        <f>SUM(F532:K532)</f>
        <v>38083.730000000003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103444.18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103444.18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4914.91</v>
      </c>
      <c r="G540" s="18">
        <v>791.64</v>
      </c>
      <c r="H540" s="18">
        <v>5055.7299999999996</v>
      </c>
      <c r="I540" s="18">
        <v>2548.48</v>
      </c>
      <c r="J540" s="18">
        <v>0</v>
      </c>
      <c r="K540" s="18">
        <v>0</v>
      </c>
      <c r="L540" s="88">
        <f>SUM(F540:K540)</f>
        <v>13310.759999999998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6682.99</v>
      </c>
      <c r="I541" s="18"/>
      <c r="J541" s="18"/>
      <c r="K541" s="18"/>
      <c r="L541" s="88">
        <f>SUM(F541:K541)</f>
        <v>6682.99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5362.86</v>
      </c>
      <c r="G542" s="18">
        <v>841.17</v>
      </c>
      <c r="H542" s="18">
        <v>1826.47</v>
      </c>
      <c r="I542" s="18">
        <v>2583.56</v>
      </c>
      <c r="J542" s="18"/>
      <c r="K542" s="18"/>
      <c r="L542" s="88">
        <f>SUM(F542:K542)</f>
        <v>10614.06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10277.77</v>
      </c>
      <c r="G543" s="194">
        <f t="shared" ref="G543:L543" si="40">SUM(G540:G542)</f>
        <v>1632.81</v>
      </c>
      <c r="H543" s="194">
        <f t="shared" si="40"/>
        <v>13565.189999999999</v>
      </c>
      <c r="I543" s="194">
        <f t="shared" si="40"/>
        <v>5132.04</v>
      </c>
      <c r="J543" s="194">
        <f t="shared" si="40"/>
        <v>0</v>
      </c>
      <c r="K543" s="194">
        <f t="shared" si="40"/>
        <v>0</v>
      </c>
      <c r="L543" s="194">
        <f t="shared" si="40"/>
        <v>30607.809999999998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658697.36</v>
      </c>
      <c r="G544" s="89">
        <f t="shared" ref="G544:L544" si="41">G523+G528+G533+G538+G543</f>
        <v>342889.67</v>
      </c>
      <c r="H544" s="89">
        <f t="shared" si="41"/>
        <v>611497.09999999986</v>
      </c>
      <c r="I544" s="89">
        <f t="shared" si="41"/>
        <v>15475.669999999998</v>
      </c>
      <c r="J544" s="89">
        <f t="shared" si="41"/>
        <v>1092.8</v>
      </c>
      <c r="K544" s="89">
        <f t="shared" si="41"/>
        <v>490</v>
      </c>
      <c r="L544" s="89">
        <f t="shared" si="41"/>
        <v>1630142.5999999999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525507.99</v>
      </c>
      <c r="G548" s="87">
        <f>L525</f>
        <v>272711.00999999995</v>
      </c>
      <c r="H548" s="87">
        <f>L530</f>
        <v>43374.239999999998</v>
      </c>
      <c r="I548" s="87">
        <f>L535</f>
        <v>0</v>
      </c>
      <c r="J548" s="87">
        <f>L540</f>
        <v>13310.759999999998</v>
      </c>
      <c r="K548" s="87">
        <f>SUM(F548:J548)</f>
        <v>854904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237025.11</v>
      </c>
      <c r="G549" s="87">
        <f>L526</f>
        <v>36213.83</v>
      </c>
      <c r="H549" s="87">
        <f>L531</f>
        <v>21986.21</v>
      </c>
      <c r="I549" s="87">
        <f>L536</f>
        <v>0</v>
      </c>
      <c r="J549" s="87">
        <f>L541</f>
        <v>6682.99</v>
      </c>
      <c r="K549" s="87">
        <f>SUM(F549:J549)</f>
        <v>301908.14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394489.18</v>
      </c>
      <c r="G550" s="87">
        <f>L527</f>
        <v>30143.49</v>
      </c>
      <c r="H550" s="87">
        <f>L532</f>
        <v>38083.730000000003</v>
      </c>
      <c r="I550" s="87">
        <f>L537</f>
        <v>0</v>
      </c>
      <c r="J550" s="87">
        <f>L542</f>
        <v>10614.06</v>
      </c>
      <c r="K550" s="87">
        <f>SUM(F550:J550)</f>
        <v>473330.45999999996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1157022.28</v>
      </c>
      <c r="G551" s="89">
        <f t="shared" si="42"/>
        <v>339068.32999999996</v>
      </c>
      <c r="H551" s="89">
        <f t="shared" si="42"/>
        <v>103444.18</v>
      </c>
      <c r="I551" s="89">
        <f t="shared" si="42"/>
        <v>0</v>
      </c>
      <c r="J551" s="89">
        <f t="shared" si="42"/>
        <v>30607.809999999998</v>
      </c>
      <c r="K551" s="89">
        <f t="shared" si="42"/>
        <v>1630142.6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13610.7</v>
      </c>
      <c r="G562" s="18">
        <v>1293.82</v>
      </c>
      <c r="H562" s="18"/>
      <c r="I562" s="18"/>
      <c r="J562" s="18"/>
      <c r="K562" s="18"/>
      <c r="L562" s="88">
        <f>SUM(F562:K562)</f>
        <v>14904.52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13610.92</v>
      </c>
      <c r="G563" s="18">
        <v>1315.62</v>
      </c>
      <c r="H563" s="18"/>
      <c r="I563" s="18"/>
      <c r="J563" s="18"/>
      <c r="K563" s="18"/>
      <c r="L563" s="88">
        <f>SUM(F563:K563)</f>
        <v>14926.54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27221.620000000003</v>
      </c>
      <c r="G564" s="89">
        <f t="shared" si="44"/>
        <v>2609.4399999999996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29831.06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27221.620000000003</v>
      </c>
      <c r="G570" s="89">
        <f t="shared" ref="G570:L570" si="46">G559+G564+G569</f>
        <v>2609.4399999999996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29831.06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56</v>
      </c>
      <c r="G577" s="18"/>
      <c r="H577" s="18">
        <f>7740</f>
        <v>7740</v>
      </c>
      <c r="I577" s="87">
        <f t="shared" si="47"/>
        <v>7796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47366.51+17712.15+3832.94+5868.9</f>
        <v>74780.5</v>
      </c>
      <c r="G581" s="18">
        <v>14664.04</v>
      </c>
      <c r="H581" s="18">
        <f>12261.87+3888</f>
        <v>16149.87</v>
      </c>
      <c r="I581" s="87">
        <f t="shared" si="47"/>
        <v>105594.41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26352</v>
      </c>
      <c r="I583" s="87">
        <f t="shared" si="47"/>
        <v>26352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63168.29</v>
      </c>
      <c r="I590" s="18">
        <v>35703.160000000003</v>
      </c>
      <c r="J590" s="18">
        <v>51832.77</v>
      </c>
      <c r="K590" s="104">
        <f t="shared" ref="K590:K596" si="48">SUM(H590:J590)</f>
        <v>150704.22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13310.76</v>
      </c>
      <c r="I591" s="18">
        <v>6682.99</v>
      </c>
      <c r="J591" s="18">
        <v>10614.06</v>
      </c>
      <c r="K591" s="104">
        <f t="shared" si="48"/>
        <v>30607.809999999998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18249.36</v>
      </c>
      <c r="K592" s="104">
        <f t="shared" si="48"/>
        <v>18249.36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3771.13</v>
      </c>
      <c r="J593" s="18">
        <v>16159.69</v>
      </c>
      <c r="K593" s="104">
        <f t="shared" si="48"/>
        <v>19930.82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2612.6</v>
      </c>
      <c r="I594" s="18">
        <v>4072.81</v>
      </c>
      <c r="J594" s="18">
        <v>9280.89</v>
      </c>
      <c r="K594" s="104">
        <f t="shared" si="48"/>
        <v>15966.3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124.69</v>
      </c>
      <c r="I595" s="18"/>
      <c r="J595" s="18"/>
      <c r="K595" s="104">
        <f t="shared" si="48"/>
        <v>124.69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79216.340000000011</v>
      </c>
      <c r="I597" s="108">
        <f>SUM(I590:I596)</f>
        <v>50230.09</v>
      </c>
      <c r="J597" s="108">
        <f>SUM(J590:J596)</f>
        <v>106136.77</v>
      </c>
      <c r="K597" s="108">
        <f>SUM(K590:K596)</f>
        <v>235583.2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23862.98</v>
      </c>
      <c r="I603" s="18">
        <v>6474.13</v>
      </c>
      <c r="J603" s="18">
        <v>17266.82</v>
      </c>
      <c r="K603" s="104">
        <f>SUM(H603:J603)</f>
        <v>47603.93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23862.98</v>
      </c>
      <c r="I604" s="108">
        <f>SUM(I601:I603)</f>
        <v>6474.13</v>
      </c>
      <c r="J604" s="108">
        <f>SUM(J601:J603)</f>
        <v>17266.82</v>
      </c>
      <c r="K604" s="108">
        <f>SUM(K601:K603)</f>
        <v>47603.93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10919.27</v>
      </c>
      <c r="G610" s="18">
        <v>1884.13</v>
      </c>
      <c r="H610" s="18">
        <v>15670.18</v>
      </c>
      <c r="I610" s="18"/>
      <c r="J610" s="18"/>
      <c r="K610" s="18">
        <v>110</v>
      </c>
      <c r="L610" s="88">
        <f>SUM(F610:K610)</f>
        <v>28583.58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3939.9</v>
      </c>
      <c r="G611" s="18">
        <v>483.49</v>
      </c>
      <c r="H611" s="18">
        <v>0</v>
      </c>
      <c r="I611" s="18"/>
      <c r="J611" s="18"/>
      <c r="K611" s="18"/>
      <c r="L611" s="88">
        <f>SUM(F611:K611)</f>
        <v>4423.3900000000003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6956.14</v>
      </c>
      <c r="G612" s="18">
        <v>1234.67</v>
      </c>
      <c r="H612" s="18">
        <v>224.2</v>
      </c>
      <c r="I612" s="18">
        <v>136.88999999999999</v>
      </c>
      <c r="J612" s="18"/>
      <c r="K612" s="18"/>
      <c r="L612" s="88">
        <f>SUM(F612:K612)</f>
        <v>8551.9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21815.31</v>
      </c>
      <c r="G613" s="108">
        <f t="shared" si="49"/>
        <v>3602.29</v>
      </c>
      <c r="H613" s="108">
        <f t="shared" si="49"/>
        <v>15894.380000000001</v>
      </c>
      <c r="I613" s="108">
        <f t="shared" si="49"/>
        <v>136.88999999999999</v>
      </c>
      <c r="J613" s="108">
        <f t="shared" si="49"/>
        <v>0</v>
      </c>
      <c r="K613" s="108">
        <f t="shared" si="49"/>
        <v>110</v>
      </c>
      <c r="L613" s="89">
        <f t="shared" si="49"/>
        <v>41558.870000000003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368131.99</v>
      </c>
      <c r="H616" s="109">
        <f>SUM(F51)</f>
        <v>368131.99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16410.22</v>
      </c>
      <c r="H617" s="109">
        <f>SUM(G51)</f>
        <v>16410.22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61211.66</v>
      </c>
      <c r="H618" s="109">
        <f>SUM(H51)</f>
        <v>61211.66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25668.01</v>
      </c>
      <c r="H619" s="109">
        <f>SUM(I51)</f>
        <v>25668.01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727574.46</v>
      </c>
      <c r="H620" s="109">
        <f>SUM(J51)</f>
        <v>727574.46000000008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326614.83</v>
      </c>
      <c r="H621" s="109">
        <f>F475</f>
        <v>326614.83000000007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6728.66</v>
      </c>
      <c r="H622" s="109">
        <f>G475</f>
        <v>6728.6600000000326</v>
      </c>
      <c r="I622" s="121" t="s">
        <v>102</v>
      </c>
      <c r="J622" s="109">
        <f t="shared" si="50"/>
        <v>-3.2741809263825417E-11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727574.46000000008</v>
      </c>
      <c r="H625" s="109">
        <f>J475</f>
        <v>727574.46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7696921.8899999997</v>
      </c>
      <c r="H626" s="104">
        <f>SUM(F467)</f>
        <v>7696921.8899999997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222251.07</v>
      </c>
      <c r="H627" s="104">
        <f>SUM(G467)</f>
        <v>222251.07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293706.23</v>
      </c>
      <c r="H628" s="104">
        <f>SUM(H467)</f>
        <v>293706.23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87721.24</v>
      </c>
      <c r="H630" s="104">
        <f>SUM(J467)</f>
        <v>87721.24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7737230.2599999988</v>
      </c>
      <c r="H631" s="104">
        <f>SUM(F471)</f>
        <v>7737230.2599999998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293706.23</v>
      </c>
      <c r="H632" s="104">
        <f>SUM(H471)</f>
        <v>293706.23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12853.25</v>
      </c>
      <c r="H633" s="104">
        <f>I368</f>
        <v>12853.25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218117.05</v>
      </c>
      <c r="H634" s="104">
        <f>SUM(G471)</f>
        <v>218117.05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87721.24</v>
      </c>
      <c r="H636" s="164">
        <f>SUM(J467)</f>
        <v>87721.24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248379.66</v>
      </c>
      <c r="H637" s="164">
        <f>SUM(J471)</f>
        <v>248379.66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477655.56</v>
      </c>
      <c r="H638" s="104">
        <f>SUM(F460)</f>
        <v>477655.56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249918.9</v>
      </c>
      <c r="H639" s="104">
        <f>SUM(G460)</f>
        <v>249918.9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727574.46</v>
      </c>
      <c r="H641" s="104">
        <f>SUM(I460)</f>
        <v>727574.46000000008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560.24</v>
      </c>
      <c r="H643" s="104">
        <f>H407</f>
        <v>560.24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86661</v>
      </c>
      <c r="H644" s="104">
        <f>G407</f>
        <v>86661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87721.24</v>
      </c>
      <c r="H645" s="104">
        <f>L407</f>
        <v>87721.24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235583.2</v>
      </c>
      <c r="H646" s="104">
        <f>L207+L225+L243</f>
        <v>235583.19999999998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47603.93</v>
      </c>
      <c r="H647" s="104">
        <f>(J256+J337)-(J254+J335)</f>
        <v>47603.93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79216.340000000011</v>
      </c>
      <c r="H648" s="104">
        <f>H597</f>
        <v>79216.340000000011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50230.09</v>
      </c>
      <c r="H649" s="104">
        <f>I597</f>
        <v>50230.09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106136.76999999997</v>
      </c>
      <c r="H650" s="104">
        <f>J597</f>
        <v>106136.77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86661</v>
      </c>
      <c r="H654" s="104">
        <f>K265+K346</f>
        <v>86661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2931883.5722699994</v>
      </c>
      <c r="G659" s="19">
        <f>(L228+L308+L358)</f>
        <v>1526474.14589</v>
      </c>
      <c r="H659" s="19">
        <f>(L246+L327+L359)</f>
        <v>2503179.6918399995</v>
      </c>
      <c r="I659" s="19">
        <f>SUM(F659:H659)</f>
        <v>6961537.4099999992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47382.839280000007</v>
      </c>
      <c r="G660" s="19">
        <f>(L358/IF(SUM(L357:L359)=0,1,SUM(L357:L359))*(SUM(G96:G109)))</f>
        <v>28525.185359999999</v>
      </c>
      <c r="H660" s="19">
        <f>(L359/IF(SUM(L357:L359)=0,1,SUM(L357:L359))*(SUM(G96:G109)))</f>
        <v>43444.215360000002</v>
      </c>
      <c r="I660" s="19">
        <f>SUM(F660:H660)</f>
        <v>119352.24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78302.780000000013</v>
      </c>
      <c r="G661" s="19">
        <f>(L225+L305)-(J225+J305)</f>
        <v>49717.599999999999</v>
      </c>
      <c r="H661" s="19">
        <f>(L243+L324)-(J243+J324)</f>
        <v>105334.61999999998</v>
      </c>
      <c r="I661" s="19">
        <f>SUM(F661:H661)</f>
        <v>233355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127283.06</v>
      </c>
      <c r="G662" s="200">
        <f>SUM(G574:G586)+SUM(I601:I603)+L611</f>
        <v>25561.56</v>
      </c>
      <c r="H662" s="200">
        <f>SUM(H574:H586)+SUM(J601:J603)+L612</f>
        <v>76060.59</v>
      </c>
      <c r="I662" s="19">
        <f>SUM(F662:H662)</f>
        <v>228905.21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2678914.8929899996</v>
      </c>
      <c r="G663" s="19">
        <f>G659-SUM(G660:G662)</f>
        <v>1422669.8005300001</v>
      </c>
      <c r="H663" s="19">
        <f>H659-SUM(H660:H662)</f>
        <v>2278340.2664799998</v>
      </c>
      <c r="I663" s="19">
        <f>I659-SUM(I660:I662)</f>
        <v>6379924.959999999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181.8</v>
      </c>
      <c r="G664" s="249">
        <v>98.46</v>
      </c>
      <c r="H664" s="249">
        <v>154.94</v>
      </c>
      <c r="I664" s="19">
        <f>SUM(F664:H664)</f>
        <v>435.2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14735.51</v>
      </c>
      <c r="G666" s="19">
        <f>ROUND(G663/G664,2)</f>
        <v>14449.22</v>
      </c>
      <c r="H666" s="19">
        <f>ROUND(H663/H664,2)</f>
        <v>14704.66</v>
      </c>
      <c r="I666" s="19">
        <f>ROUND(I663/I664,2)</f>
        <v>14659.75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-8</v>
      </c>
      <c r="I669" s="19">
        <f>SUM(F669:H669)</f>
        <v>-8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14735.51</v>
      </c>
      <c r="G671" s="19">
        <f>ROUND((G663+G668)/(G664+G669),2)</f>
        <v>14449.22</v>
      </c>
      <c r="H671" s="19">
        <f>ROUND((H663+H668)/(H664+H669),2)</f>
        <v>15505.24</v>
      </c>
      <c r="I671" s="19">
        <f>ROUND((I663+I668)/(I664+I669),2)</f>
        <v>14934.28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G-R-S Coop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1713120.33</v>
      </c>
      <c r="C9" s="230">
        <f>'DOE25'!G196+'DOE25'!G214+'DOE25'!G232+'DOE25'!G275+'DOE25'!G294+'DOE25'!G313</f>
        <v>763279.58000000007</v>
      </c>
    </row>
    <row r="10" spans="1:3" x14ac:dyDescent="0.2">
      <c r="A10" t="s">
        <v>779</v>
      </c>
      <c r="B10" s="241">
        <v>1618653.2</v>
      </c>
      <c r="C10" s="241">
        <v>741668.34</v>
      </c>
    </row>
    <row r="11" spans="1:3" x14ac:dyDescent="0.2">
      <c r="A11" t="s">
        <v>780</v>
      </c>
      <c r="B11" s="241">
        <v>26775.759999999998</v>
      </c>
      <c r="C11" s="241">
        <v>16038.63</v>
      </c>
    </row>
    <row r="12" spans="1:3" x14ac:dyDescent="0.2">
      <c r="A12" t="s">
        <v>781</v>
      </c>
      <c r="B12" s="241">
        <v>67691.37</v>
      </c>
      <c r="C12" s="241">
        <v>5572.61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1713120.33</v>
      </c>
      <c r="C13" s="232">
        <f>SUM(C10:C12)</f>
        <v>763279.58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558983.44999999995</v>
      </c>
      <c r="C18" s="230">
        <f>'DOE25'!G197+'DOE25'!G215+'DOE25'!G233+'DOE25'!G276+'DOE25'!G295+'DOE25'!G314</f>
        <v>305957.52</v>
      </c>
    </row>
    <row r="19" spans="1:3" x14ac:dyDescent="0.2">
      <c r="A19" t="s">
        <v>779</v>
      </c>
      <c r="B19" s="241">
        <v>226306.89</v>
      </c>
      <c r="C19" s="241">
        <v>99622.61</v>
      </c>
    </row>
    <row r="20" spans="1:3" x14ac:dyDescent="0.2">
      <c r="A20" t="s">
        <v>780</v>
      </c>
      <c r="B20" s="241">
        <v>311965.03999999998</v>
      </c>
      <c r="C20" s="241">
        <v>204823.46</v>
      </c>
    </row>
    <row r="21" spans="1:3" x14ac:dyDescent="0.2">
      <c r="A21" t="s">
        <v>781</v>
      </c>
      <c r="B21" s="241">
        <v>20711.52</v>
      </c>
      <c r="C21" s="241">
        <v>1511.45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558983.44999999995</v>
      </c>
      <c r="C22" s="232">
        <f>SUM(C19:C21)</f>
        <v>305957.52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98919.35</v>
      </c>
      <c r="C36" s="236">
        <f>'DOE25'!G199+'DOE25'!G217+'DOE25'!G235+'DOE25'!G278+'DOE25'!G297+'DOE25'!G316</f>
        <v>14342.35</v>
      </c>
    </row>
    <row r="37" spans="1:3" x14ac:dyDescent="0.2">
      <c r="A37" t="s">
        <v>779</v>
      </c>
      <c r="B37" s="241">
        <v>89729.55</v>
      </c>
      <c r="C37" s="241">
        <v>13571.32</v>
      </c>
    </row>
    <row r="38" spans="1:3" x14ac:dyDescent="0.2">
      <c r="A38" t="s">
        <v>780</v>
      </c>
      <c r="B38" s="241">
        <v>5638.8</v>
      </c>
      <c r="C38" s="241">
        <v>473.1</v>
      </c>
    </row>
    <row r="39" spans="1:3" x14ac:dyDescent="0.2">
      <c r="A39" t="s">
        <v>781</v>
      </c>
      <c r="B39" s="241">
        <v>3551</v>
      </c>
      <c r="C39" s="241">
        <v>297.93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98919.35</v>
      </c>
      <c r="C40" s="232">
        <f>SUM(C37:C39)</f>
        <v>14342.35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opLeftCell="B1" workbookViewId="0">
      <pane ySplit="4" topLeftCell="A11" activePane="bottomLeft" state="frozen"/>
      <selection pane="bottomLeft" activeCell="C28" sqref="C2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G-R-S Coop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3751322.17</v>
      </c>
      <c r="D5" s="20">
        <f>SUM('DOE25'!L196:L199)+SUM('DOE25'!L214:L217)+SUM('DOE25'!L232:L235)-F5-G5</f>
        <v>3719327.9299999997</v>
      </c>
      <c r="E5" s="244"/>
      <c r="F5" s="256">
        <f>SUM('DOE25'!J196:J199)+SUM('DOE25'!J214:J217)+SUM('DOE25'!J232:J235)</f>
        <v>10785.91</v>
      </c>
      <c r="G5" s="53">
        <f>SUM('DOE25'!K196:K199)+SUM('DOE25'!K214:K217)+SUM('DOE25'!K232:K235)</f>
        <v>21208.33</v>
      </c>
      <c r="H5" s="260"/>
    </row>
    <row r="6" spans="1:9" x14ac:dyDescent="0.2">
      <c r="A6" s="32">
        <v>2100</v>
      </c>
      <c r="B6" t="s">
        <v>801</v>
      </c>
      <c r="C6" s="246">
        <f t="shared" si="0"/>
        <v>696724.38</v>
      </c>
      <c r="D6" s="20">
        <f>'DOE25'!L201+'DOE25'!L219+'DOE25'!L237-F6-G6</f>
        <v>693905.6</v>
      </c>
      <c r="E6" s="244"/>
      <c r="F6" s="256">
        <f>'DOE25'!J201+'DOE25'!J219+'DOE25'!J237</f>
        <v>1648.78</v>
      </c>
      <c r="G6" s="53">
        <f>'DOE25'!K201+'DOE25'!K219+'DOE25'!K237</f>
        <v>1170</v>
      </c>
      <c r="H6" s="260"/>
    </row>
    <row r="7" spans="1:9" x14ac:dyDescent="0.2">
      <c r="A7" s="32">
        <v>2200</v>
      </c>
      <c r="B7" t="s">
        <v>834</v>
      </c>
      <c r="C7" s="246">
        <f t="shared" si="0"/>
        <v>188371.06</v>
      </c>
      <c r="D7" s="20">
        <f>'DOE25'!L202+'DOE25'!L220+'DOE25'!L238-F7-G7</f>
        <v>185672.28</v>
      </c>
      <c r="E7" s="244"/>
      <c r="F7" s="256">
        <f>'DOE25'!J202+'DOE25'!J220+'DOE25'!J238</f>
        <v>922.78</v>
      </c>
      <c r="G7" s="53">
        <f>'DOE25'!K202+'DOE25'!K220+'DOE25'!K238</f>
        <v>1776</v>
      </c>
      <c r="H7" s="260"/>
    </row>
    <row r="8" spans="1:9" x14ac:dyDescent="0.2">
      <c r="A8" s="32">
        <v>2300</v>
      </c>
      <c r="B8" t="s">
        <v>802</v>
      </c>
      <c r="C8" s="246">
        <f t="shared" si="0"/>
        <v>398507.57999999996</v>
      </c>
      <c r="D8" s="244"/>
      <c r="E8" s="20">
        <f>'DOE25'!L203+'DOE25'!L221+'DOE25'!L239-F8-G8-D9-D11</f>
        <v>395019.61</v>
      </c>
      <c r="F8" s="256">
        <f>'DOE25'!J203+'DOE25'!J221+'DOE25'!J239</f>
        <v>0</v>
      </c>
      <c r="G8" s="53">
        <f>'DOE25'!K203+'DOE25'!K221+'DOE25'!K239</f>
        <v>3487.9699999999993</v>
      </c>
      <c r="H8" s="260"/>
    </row>
    <row r="9" spans="1:9" x14ac:dyDescent="0.2">
      <c r="A9" s="32">
        <v>2310</v>
      </c>
      <c r="B9" t="s">
        <v>818</v>
      </c>
      <c r="C9" s="246">
        <f t="shared" si="0"/>
        <v>44972.19</v>
      </c>
      <c r="D9" s="245">
        <v>44972.19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5200</v>
      </c>
      <c r="D10" s="244"/>
      <c r="E10" s="245">
        <v>5200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100923.42</v>
      </c>
      <c r="D11" s="245">
        <v>100923.42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473753.07000000007</v>
      </c>
      <c r="D12" s="20">
        <f>'DOE25'!L204+'DOE25'!L222+'DOE25'!L240-F12-G12</f>
        <v>463209.12000000005</v>
      </c>
      <c r="E12" s="244"/>
      <c r="F12" s="256">
        <f>'DOE25'!J204+'DOE25'!J222+'DOE25'!J240</f>
        <v>134.94999999999999</v>
      </c>
      <c r="G12" s="53">
        <f>'DOE25'!K204+'DOE25'!K222+'DOE25'!K240</f>
        <v>10409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571950.74</v>
      </c>
      <c r="D14" s="20">
        <f>'DOE25'!L206+'DOE25'!L224+'DOE25'!L242-F14-G14</f>
        <v>563029.92000000004</v>
      </c>
      <c r="E14" s="244"/>
      <c r="F14" s="256">
        <f>'DOE25'!J206+'DOE25'!J224+'DOE25'!J242</f>
        <v>8815.82</v>
      </c>
      <c r="G14" s="53">
        <f>'DOE25'!K206+'DOE25'!K224+'DOE25'!K242</f>
        <v>104.99999999999999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235583.19999999998</v>
      </c>
      <c r="D15" s="20">
        <f>'DOE25'!L207+'DOE25'!L225+'DOE25'!L243-F15-G15</f>
        <v>232613.95999999996</v>
      </c>
      <c r="E15" s="244"/>
      <c r="F15" s="256">
        <f>'DOE25'!J207+'DOE25'!J225+'DOE25'!J243</f>
        <v>2228.1999999999998</v>
      </c>
      <c r="G15" s="53">
        <f>'DOE25'!K207+'DOE25'!K225+'DOE25'!K243</f>
        <v>741.04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16736.45</v>
      </c>
      <c r="D22" s="244"/>
      <c r="E22" s="244"/>
      <c r="F22" s="256">
        <f>'DOE25'!L254+'DOE25'!L335</f>
        <v>16736.45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1161545</v>
      </c>
      <c r="D25" s="244"/>
      <c r="E25" s="244"/>
      <c r="F25" s="259"/>
      <c r="G25" s="257"/>
      <c r="H25" s="258">
        <f>'DOE25'!L259+'DOE25'!L260+'DOE25'!L340+'DOE25'!L341</f>
        <v>1161545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205263.8</v>
      </c>
      <c r="D29" s="20">
        <f>'DOE25'!L357+'DOE25'!L358+'DOE25'!L359-'DOE25'!I366-F29-G29</f>
        <v>205263.8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281312.55</v>
      </c>
      <c r="D31" s="20">
        <f>'DOE25'!L289+'DOE25'!L308+'DOE25'!L327+'DOE25'!L332+'DOE25'!L333+'DOE25'!L334-F31-G31</f>
        <v>238215.06</v>
      </c>
      <c r="E31" s="244"/>
      <c r="F31" s="256">
        <f>'DOE25'!J289+'DOE25'!J308+'DOE25'!J327+'DOE25'!J332+'DOE25'!J333+'DOE25'!J334</f>
        <v>23067.49</v>
      </c>
      <c r="G31" s="53">
        <f>'DOE25'!K289+'DOE25'!K308+'DOE25'!K327+'DOE25'!K332+'DOE25'!K333+'DOE25'!K334</f>
        <v>20030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6447133.2799999993</v>
      </c>
      <c r="E33" s="247">
        <f>SUM(E5:E31)</f>
        <v>400219.61</v>
      </c>
      <c r="F33" s="247">
        <f>SUM(F5:F31)</f>
        <v>64340.380000000005</v>
      </c>
      <c r="G33" s="247">
        <f>SUM(G5:G31)</f>
        <v>58927.340000000004</v>
      </c>
      <c r="H33" s="247">
        <f>SUM(H5:H31)</f>
        <v>1161545</v>
      </c>
    </row>
    <row r="35" spans="2:8" ht="12" thickBot="1" x14ac:dyDescent="0.25">
      <c r="B35" s="254" t="s">
        <v>847</v>
      </c>
      <c r="D35" s="255">
        <f>E33</f>
        <v>400219.61</v>
      </c>
      <c r="E35" s="250"/>
    </row>
    <row r="36" spans="2:8" ht="12" thickTop="1" x14ac:dyDescent="0.2">
      <c r="B36" t="s">
        <v>815</v>
      </c>
      <c r="D36" s="20">
        <f>D33</f>
        <v>6447133.2799999993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G-R-S Coop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250517.06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14211.39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63252.7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35858.35</v>
      </c>
      <c r="D12" s="95">
        <f>'DOE25'!G13</f>
        <v>13956.52</v>
      </c>
      <c r="E12" s="95">
        <f>'DOE25'!H13</f>
        <v>61211.66</v>
      </c>
      <c r="F12" s="95">
        <f>'DOE25'!I13</f>
        <v>25668.01</v>
      </c>
      <c r="G12" s="95">
        <f>'DOE25'!J13</f>
        <v>727574.46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4292.49</v>
      </c>
      <c r="D13" s="95">
        <f>'DOE25'!G14</f>
        <v>2453.6999999999998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368131.99</v>
      </c>
      <c r="D18" s="41">
        <f>SUM(D8:D17)</f>
        <v>16410.22</v>
      </c>
      <c r="E18" s="41">
        <f>SUM(E8:E17)</f>
        <v>61211.66</v>
      </c>
      <c r="F18" s="41">
        <f>SUM(F8:F17)</f>
        <v>25668.01</v>
      </c>
      <c r="G18" s="41">
        <f>SUM(G8:G17)</f>
        <v>727574.46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9681.56</v>
      </c>
      <c r="E21" s="95">
        <f>'DOE25'!H22</f>
        <v>27903.13</v>
      </c>
      <c r="F21" s="95">
        <f>'DOE25'!I22</f>
        <v>25668.01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12259.37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31677.34</v>
      </c>
      <c r="D23" s="95">
        <f>'DOE25'!G24</f>
        <v>0</v>
      </c>
      <c r="E23" s="95">
        <f>'DOE25'!H24</f>
        <v>921.98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9067.75</v>
      </c>
      <c r="D27" s="95">
        <f>'DOE25'!G28</f>
        <v>0</v>
      </c>
      <c r="E27" s="95">
        <f>'DOE25'!H28</f>
        <v>75.760000000000005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772.07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20051.419999999998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41517.159999999996</v>
      </c>
      <c r="D31" s="41">
        <f>SUM(D21:D30)</f>
        <v>9681.56</v>
      </c>
      <c r="E31" s="41">
        <f>SUM(E21:E30)</f>
        <v>61211.66</v>
      </c>
      <c r="F31" s="41">
        <f>SUM(F21:F30)</f>
        <v>25668.01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30129.52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132.04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6728.66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40000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697312.9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286614.83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326614.83</v>
      </c>
      <c r="D49" s="41">
        <f>SUM(D34:D48)</f>
        <v>6728.66</v>
      </c>
      <c r="E49" s="41">
        <f>SUM(E34:E48)</f>
        <v>0</v>
      </c>
      <c r="F49" s="41">
        <f>SUM(F34:F48)</f>
        <v>0</v>
      </c>
      <c r="G49" s="41">
        <f>SUM(G34:G48)</f>
        <v>727574.46000000008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368131.99</v>
      </c>
      <c r="D50" s="41">
        <f>D49+D31</f>
        <v>16410.22</v>
      </c>
      <c r="E50" s="41">
        <f>E49+E31</f>
        <v>61211.66</v>
      </c>
      <c r="F50" s="41">
        <f>F49+F31</f>
        <v>25668.01</v>
      </c>
      <c r="G50" s="41">
        <f>G49+G31</f>
        <v>727574.46000000008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3678298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27487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1561.57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585.34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560.24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119352.24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74836.3</v>
      </c>
      <c r="D60" s="95">
        <f>SUM('DOE25'!G97:G109)</f>
        <v>0</v>
      </c>
      <c r="E60" s="95">
        <f>SUM('DOE25'!H97:H109)</f>
        <v>24025.23</v>
      </c>
      <c r="F60" s="95">
        <f>SUM('DOE25'!I97:I109)</f>
        <v>0</v>
      </c>
      <c r="G60" s="95">
        <f>SUM('DOE25'!J97:J109)</f>
        <v>500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104470.21</v>
      </c>
      <c r="D61" s="130">
        <f>SUM(D56:D60)</f>
        <v>119352.24</v>
      </c>
      <c r="E61" s="130">
        <f>SUM(E56:E60)</f>
        <v>24025.23</v>
      </c>
      <c r="F61" s="130">
        <f>SUM(F56:F60)</f>
        <v>0</v>
      </c>
      <c r="G61" s="130">
        <f>SUM(G56:G60)</f>
        <v>1060.24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3782768.21</v>
      </c>
      <c r="D62" s="22">
        <f>D55+D61</f>
        <v>119352.24</v>
      </c>
      <c r="E62" s="22">
        <f>E55+E61</f>
        <v>24025.23</v>
      </c>
      <c r="F62" s="22">
        <f>F55+F61</f>
        <v>0</v>
      </c>
      <c r="G62" s="22">
        <f>G55+G61</f>
        <v>1060.24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2118074.83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828208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1835.17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2948118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622890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4131.12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450</v>
      </c>
      <c r="D76" s="95">
        <f>SUM('DOE25'!G130:G134)</f>
        <v>15510.89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627471.12</v>
      </c>
      <c r="D77" s="130">
        <f>SUM(D71:D76)</f>
        <v>15510.89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3575589.12</v>
      </c>
      <c r="D80" s="130">
        <f>SUM(D78:D79)+D77+D69</f>
        <v>15510.89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28085.14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91301.97</v>
      </c>
      <c r="D87" s="95">
        <f>SUM('DOE25'!G152:G160)</f>
        <v>87387.94</v>
      </c>
      <c r="E87" s="95">
        <f>SUM('DOE25'!H152:H160)</f>
        <v>241595.86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30444.63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121746.6</v>
      </c>
      <c r="D90" s="131">
        <f>SUM(D84:D89)</f>
        <v>87387.94</v>
      </c>
      <c r="E90" s="131">
        <f>SUM(E84:E89)</f>
        <v>269681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86661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216419.68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398.28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216817.96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86661</v>
      </c>
    </row>
    <row r="103" spans="1:7" ht="12.75" thickTop="1" thickBot="1" x14ac:dyDescent="0.25">
      <c r="A103" s="33" t="s">
        <v>765</v>
      </c>
      <c r="C103" s="86">
        <f>C62+C80+C90+C102</f>
        <v>7696921.8899999997</v>
      </c>
      <c r="D103" s="86">
        <f>D62+D80+D90+D102</f>
        <v>222251.07</v>
      </c>
      <c r="E103" s="86">
        <f>E62+E80+E90+E102</f>
        <v>293706.23</v>
      </c>
      <c r="F103" s="86">
        <f>F62+F80+F90+F102</f>
        <v>0</v>
      </c>
      <c r="G103" s="86">
        <f>G62+G80+G102</f>
        <v>87721.24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2548162.9699999997</v>
      </c>
      <c r="D108" s="24" t="s">
        <v>289</v>
      </c>
      <c r="E108" s="95">
        <f>('DOE25'!L275)+('DOE25'!L294)+('DOE25'!L313)</f>
        <v>110372.99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1004448.05</v>
      </c>
      <c r="D109" s="24" t="s">
        <v>289</v>
      </c>
      <c r="E109" s="95">
        <f>('DOE25'!L276)+('DOE25'!L295)+('DOE25'!L314)</f>
        <v>113780.40000000001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26352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172359.15</v>
      </c>
      <c r="D111" s="24" t="s">
        <v>289</v>
      </c>
      <c r="E111" s="95">
        <f>+('DOE25'!L278)+('DOE25'!L297)+('DOE25'!L316)</f>
        <v>10857.83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3751322.1699999995</v>
      </c>
      <c r="D114" s="86">
        <f>SUM(D108:D113)</f>
        <v>0</v>
      </c>
      <c r="E114" s="86">
        <f>SUM(E108:E113)</f>
        <v>235011.22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696724.38</v>
      </c>
      <c r="D117" s="24" t="s">
        <v>289</v>
      </c>
      <c r="E117" s="95">
        <f>+('DOE25'!L280)+('DOE25'!L299)+('DOE25'!L318)</f>
        <v>3530.87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188371.06</v>
      </c>
      <c r="D118" s="24" t="s">
        <v>289</v>
      </c>
      <c r="E118" s="95">
        <f>+('DOE25'!L281)+('DOE25'!L300)+('DOE25'!L319)</f>
        <v>42770.46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544403.18999999994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473753.07000000007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571950.74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235583.19999999998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218117.05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2710785.64</v>
      </c>
      <c r="D127" s="86">
        <f>SUM(D117:D126)</f>
        <v>218117.05</v>
      </c>
      <c r="E127" s="86">
        <f>SUM(E117:E126)</f>
        <v>46301.33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16736.45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1080238.23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81306.77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248379.66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31041.200000000001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56680.04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-1060.2400000000052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10180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12393.68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1275122.45</v>
      </c>
      <c r="D143" s="141">
        <f>SUM(D129:D142)</f>
        <v>0</v>
      </c>
      <c r="E143" s="141">
        <f>SUM(E129:E142)</f>
        <v>12393.68</v>
      </c>
      <c r="F143" s="141">
        <f>SUM(F129:F142)</f>
        <v>0</v>
      </c>
      <c r="G143" s="141">
        <f>SUM(G129:G142)</f>
        <v>248379.66</v>
      </c>
    </row>
    <row r="144" spans="1:7" ht="12.75" thickTop="1" thickBot="1" x14ac:dyDescent="0.25">
      <c r="A144" s="33" t="s">
        <v>244</v>
      </c>
      <c r="C144" s="86">
        <f>(C114+C127+C143)</f>
        <v>7737230.2599999998</v>
      </c>
      <c r="D144" s="86">
        <f>(D114+D127+D143)</f>
        <v>218117.05</v>
      </c>
      <c r="E144" s="86">
        <f>(E114+E127+E143)</f>
        <v>293706.23</v>
      </c>
      <c r="F144" s="86">
        <f>(F114+F127+F143)</f>
        <v>0</v>
      </c>
      <c r="G144" s="86">
        <f>(G114+G127+G143)</f>
        <v>248379.66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5/29/08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7/15/2013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5385000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3.14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3145113.53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3145113.53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1080238.23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1080238.23</v>
      </c>
    </row>
    <row r="158" spans="1:9" x14ac:dyDescent="0.2">
      <c r="A158" s="22" t="s">
        <v>35</v>
      </c>
      <c r="B158" s="137">
        <f>'DOE25'!F497</f>
        <v>2064875.2999999998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2064875.2999999998</v>
      </c>
    </row>
    <row r="159" spans="1:9" x14ac:dyDescent="0.2">
      <c r="A159" s="22" t="s">
        <v>36</v>
      </c>
      <c r="B159" s="137">
        <f>'DOE25'!F498</f>
        <v>63438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63438</v>
      </c>
    </row>
    <row r="160" spans="1:9" x14ac:dyDescent="0.2">
      <c r="A160" s="22" t="s">
        <v>37</v>
      </c>
      <c r="B160" s="137">
        <f>'DOE25'!F499</f>
        <v>2128313.2999999998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2128313.2999999998</v>
      </c>
    </row>
    <row r="161" spans="1:7" x14ac:dyDescent="0.2">
      <c r="A161" s="22" t="s">
        <v>38</v>
      </c>
      <c r="B161" s="137">
        <f>'DOE25'!F500</f>
        <v>1077000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1077000</v>
      </c>
    </row>
    <row r="162" spans="1:7" x14ac:dyDescent="0.2">
      <c r="A162" s="22" t="s">
        <v>39</v>
      </c>
      <c r="B162" s="137">
        <f>'DOE25'!F501</f>
        <v>47928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47928</v>
      </c>
    </row>
    <row r="163" spans="1:7" x14ac:dyDescent="0.2">
      <c r="A163" s="22" t="s">
        <v>246</v>
      </c>
      <c r="B163" s="137">
        <f>'DOE25'!F502</f>
        <v>1124928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1124928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G-R-S Coop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14736</v>
      </c>
    </row>
    <row r="5" spans="1:4" x14ac:dyDescent="0.2">
      <c r="B5" t="s">
        <v>704</v>
      </c>
      <c r="C5" s="179">
        <f>IF('DOE25'!G664+'DOE25'!G669=0,0,ROUND('DOE25'!G671,0))</f>
        <v>14449</v>
      </c>
    </row>
    <row r="6" spans="1:4" x14ac:dyDescent="0.2">
      <c r="B6" t="s">
        <v>62</v>
      </c>
      <c r="C6" s="179">
        <f>IF('DOE25'!H664+'DOE25'!H669=0,0,ROUND('DOE25'!H671,0))</f>
        <v>15505</v>
      </c>
    </row>
    <row r="7" spans="1:4" x14ac:dyDescent="0.2">
      <c r="B7" t="s">
        <v>705</v>
      </c>
      <c r="C7" s="179">
        <f>IF('DOE25'!I664+'DOE25'!I669=0,0,ROUND('DOE25'!I671,0))</f>
        <v>14934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2658536</v>
      </c>
      <c r="D10" s="182">
        <f>ROUND((C10/$C$28)*100,1)</f>
        <v>38.299999999999997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1118228</v>
      </c>
      <c r="D11" s="182">
        <f>ROUND((C11/$C$28)*100,1)</f>
        <v>16.100000000000001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26352</v>
      </c>
      <c r="D12" s="182">
        <f>ROUND((C12/$C$28)*100,1)</f>
        <v>0.4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183217</v>
      </c>
      <c r="D13" s="182">
        <f>ROUND((C13/$C$28)*100,1)</f>
        <v>2.6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700255</v>
      </c>
      <c r="D15" s="182">
        <f t="shared" ref="D15:D27" si="0">ROUND((C15/$C$28)*100,1)</f>
        <v>10.1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231142</v>
      </c>
      <c r="D16" s="182">
        <f t="shared" si="0"/>
        <v>3.3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544403</v>
      </c>
      <c r="D17" s="182">
        <f t="shared" si="0"/>
        <v>7.8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473753</v>
      </c>
      <c r="D18" s="182">
        <f t="shared" si="0"/>
        <v>6.8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571951</v>
      </c>
      <c r="D20" s="182">
        <f t="shared" si="0"/>
        <v>8.1999999999999993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235583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81307</v>
      </c>
      <c r="D25" s="182">
        <f t="shared" si="0"/>
        <v>1.2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22573.68</v>
      </c>
      <c r="D26" s="182">
        <f t="shared" si="0"/>
        <v>0.3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98764.76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6946065.4399999995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16736</v>
      </c>
    </row>
    <row r="30" spans="1:4" x14ac:dyDescent="0.2">
      <c r="B30" s="187" t="s">
        <v>729</v>
      </c>
      <c r="C30" s="180">
        <f>SUM(C28:C29)</f>
        <v>6962801.4399999995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1080238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3678298</v>
      </c>
      <c r="D35" s="182">
        <f t="shared" ref="D35:D40" si="1">ROUND((C35/$C$41)*100,1)</f>
        <v>46.7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129555.68000000017</v>
      </c>
      <c r="D36" s="182">
        <f t="shared" si="1"/>
        <v>1.6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2948118</v>
      </c>
      <c r="D37" s="182">
        <f t="shared" si="1"/>
        <v>37.4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642982</v>
      </c>
      <c r="D38" s="182">
        <f t="shared" si="1"/>
        <v>8.1999999999999993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478816</v>
      </c>
      <c r="D39" s="182">
        <f t="shared" si="1"/>
        <v>6.1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398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7878167.6799999997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39" sqref="C39:M3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G-R-S Coop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2012-09-11T16:47:38Z</cp:lastPrinted>
  <dcterms:created xsi:type="dcterms:W3CDTF">1997-12-04T19:04:30Z</dcterms:created>
  <dcterms:modified xsi:type="dcterms:W3CDTF">2012-11-21T14:35:19Z</dcterms:modified>
</cp:coreProperties>
</file>