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C12" i="10" s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H646" i="1" s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F31" i="13" s="1"/>
  <c r="K289" i="1"/>
  <c r="K308" i="1"/>
  <c r="K327" i="1"/>
  <c r="G31" i="13" s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E123" i="2" s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C130" i="2" s="1"/>
  <c r="L260" i="1"/>
  <c r="L340" i="1"/>
  <c r="L341" i="1"/>
  <c r="L254" i="1"/>
  <c r="C129" i="2" s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1" i="2" s="1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3" i="10"/>
  <c r="L249" i="1"/>
  <c r="L331" i="1"/>
  <c r="L253" i="1"/>
  <c r="C25" i="10"/>
  <c r="L267" i="1"/>
  <c r="L268" i="1"/>
  <c r="L348" i="1"/>
  <c r="L349" i="1"/>
  <c r="I664" i="1"/>
  <c r="I669" i="1"/>
  <c r="G661" i="1"/>
  <c r="I668" i="1"/>
  <c r="C42" i="10"/>
  <c r="L373" i="1"/>
  <c r="L374" i="1"/>
  <c r="L375" i="1"/>
  <c r="L376" i="1"/>
  <c r="L377" i="1"/>
  <c r="L378" i="1"/>
  <c r="F129" i="2" s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D18" i="2" s="1"/>
  <c r="E12" i="2"/>
  <c r="E18" i="2" s="1"/>
  <c r="F12" i="2"/>
  <c r="I441" i="1"/>
  <c r="J13" i="1" s="1"/>
  <c r="C13" i="2"/>
  <c r="C18" i="2" s="1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E31" i="2" s="1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F31" i="2" s="1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9" i="2" s="1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F77" i="2" s="1"/>
  <c r="F80" i="2" s="1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C109" i="2"/>
  <c r="E110" i="2"/>
  <c r="E111" i="2"/>
  <c r="C112" i="2"/>
  <c r="E112" i="2"/>
  <c r="C113" i="2"/>
  <c r="E113" i="2"/>
  <c r="D114" i="2"/>
  <c r="F114" i="2"/>
  <c r="G114" i="2"/>
  <c r="E117" i="2"/>
  <c r="E119" i="2"/>
  <c r="E120" i="2"/>
  <c r="E121" i="2"/>
  <c r="E122" i="2"/>
  <c r="C124" i="2"/>
  <c r="E124" i="2"/>
  <c r="F127" i="2"/>
  <c r="G127" i="2"/>
  <c r="E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G157" i="2" s="1"/>
  <c r="F157" i="2"/>
  <c r="B158" i="2"/>
  <c r="C158" i="2"/>
  <c r="D158" i="2"/>
  <c r="E158" i="2"/>
  <c r="F158" i="2"/>
  <c r="G158" i="2" s="1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G162" i="2" s="1"/>
  <c r="F502" i="1"/>
  <c r="B163" i="2" s="1"/>
  <c r="G502" i="1"/>
  <c r="C163" i="2" s="1"/>
  <c r="G163" i="2" s="1"/>
  <c r="H502" i="1"/>
  <c r="D163" i="2" s="1"/>
  <c r="I502" i="1"/>
  <c r="E163" i="2" s="1"/>
  <c r="J502" i="1"/>
  <c r="F163" i="2" s="1"/>
  <c r="F19" i="1"/>
  <c r="G616" i="1" s="1"/>
  <c r="G19" i="1"/>
  <c r="H19" i="1"/>
  <c r="I19" i="1"/>
  <c r="G619" i="1" s="1"/>
  <c r="F32" i="1"/>
  <c r="G32" i="1"/>
  <c r="H32" i="1"/>
  <c r="I32" i="1"/>
  <c r="F50" i="1"/>
  <c r="G621" i="1" s="1"/>
  <c r="G50" i="1"/>
  <c r="G51" i="1" s="1"/>
  <c r="H617" i="1" s="1"/>
  <c r="H50" i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L255" i="1" s="1"/>
  <c r="H255" i="1"/>
  <c r="I255" i="1"/>
  <c r="J255" i="1"/>
  <c r="K255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H361" i="1"/>
  <c r="I361" i="1"/>
  <c r="G633" i="1" s="1"/>
  <c r="J361" i="1"/>
  <c r="K361" i="1"/>
  <c r="I367" i="1"/>
  <c r="I368" i="1" s="1"/>
  <c r="H633" i="1" s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G407" i="1" s="1"/>
  <c r="H644" i="1" s="1"/>
  <c r="H400" i="1"/>
  <c r="H407" i="1" s="1"/>
  <c r="H643" i="1" s="1"/>
  <c r="I400" i="1"/>
  <c r="F406" i="1"/>
  <c r="G406" i="1"/>
  <c r="H406" i="1"/>
  <c r="I406" i="1"/>
  <c r="F407" i="1"/>
  <c r="I407" i="1"/>
  <c r="L412" i="1"/>
  <c r="L413" i="1"/>
  <c r="L414" i="1"/>
  <c r="L415" i="1"/>
  <c r="L416" i="1"/>
  <c r="L417" i="1"/>
  <c r="F418" i="1"/>
  <c r="G418" i="1"/>
  <c r="G433" i="1" s="1"/>
  <c r="H418" i="1"/>
  <c r="I418" i="1"/>
  <c r="I433" i="1" s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33" i="1"/>
  <c r="H433" i="1"/>
  <c r="J433" i="1"/>
  <c r="F445" i="1"/>
  <c r="G445" i="1"/>
  <c r="H445" i="1"/>
  <c r="G640" i="1" s="1"/>
  <c r="I445" i="1"/>
  <c r="G641" i="1" s="1"/>
  <c r="F451" i="1"/>
  <c r="G451" i="1"/>
  <c r="H451" i="1"/>
  <c r="I451" i="1"/>
  <c r="F459" i="1"/>
  <c r="G459" i="1"/>
  <c r="H459" i="1"/>
  <c r="H460" i="1" s="1"/>
  <c r="H640" i="1" s="1"/>
  <c r="I459" i="1"/>
  <c r="F460" i="1"/>
  <c r="G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56" i="1"/>
  <c r="L557" i="1"/>
  <c r="L558" i="1"/>
  <c r="F559" i="1"/>
  <c r="G559" i="1"/>
  <c r="G570" i="1" s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G617" i="1"/>
  <c r="G618" i="1"/>
  <c r="G622" i="1"/>
  <c r="G623" i="1"/>
  <c r="G624" i="1"/>
  <c r="H626" i="1"/>
  <c r="H627" i="1"/>
  <c r="H628" i="1"/>
  <c r="H629" i="1"/>
  <c r="H630" i="1"/>
  <c r="H631" i="1"/>
  <c r="H632" i="1"/>
  <c r="H634" i="1"/>
  <c r="H635" i="1"/>
  <c r="H636" i="1"/>
  <c r="H637" i="1"/>
  <c r="G638" i="1"/>
  <c r="H638" i="1"/>
  <c r="G639" i="1"/>
  <c r="H639" i="1"/>
  <c r="H641" i="1"/>
  <c r="G642" i="1"/>
  <c r="H642" i="1"/>
  <c r="G643" i="1"/>
  <c r="G644" i="1"/>
  <c r="G649" i="1"/>
  <c r="G651" i="1"/>
  <c r="H651" i="1"/>
  <c r="J651" i="1"/>
  <c r="G652" i="1"/>
  <c r="H652" i="1"/>
  <c r="J652" i="1" s="1"/>
  <c r="G653" i="1"/>
  <c r="H653" i="1"/>
  <c r="J653" i="1" s="1"/>
  <c r="H654" i="1"/>
  <c r="F191" i="1"/>
  <c r="C26" i="10"/>
  <c r="L350" i="1"/>
  <c r="A31" i="12"/>
  <c r="G8" i="2"/>
  <c r="D61" i="2"/>
  <c r="D62" i="2" s="1"/>
  <c r="E49" i="2"/>
  <c r="D18" i="13"/>
  <c r="C18" i="13" s="1"/>
  <c r="F102" i="2"/>
  <c r="D17" i="13"/>
  <c r="C17" i="13" s="1"/>
  <c r="C90" i="2"/>
  <c r="G80" i="2"/>
  <c r="F61" i="2"/>
  <c r="F62" i="2" s="1"/>
  <c r="D49" i="2"/>
  <c r="G156" i="2"/>
  <c r="F49" i="2"/>
  <c r="F18" i="2"/>
  <c r="E143" i="2"/>
  <c r="G102" i="2"/>
  <c r="E102" i="2"/>
  <c r="C102" i="2"/>
  <c r="D90" i="2"/>
  <c r="F90" i="2"/>
  <c r="E61" i="2"/>
  <c r="E62" i="2" s="1"/>
  <c r="C61" i="2"/>
  <c r="C62" i="2" s="1"/>
  <c r="D19" i="13"/>
  <c r="C19" i="13" s="1"/>
  <c r="A40" i="12" l="1"/>
  <c r="L613" i="1"/>
  <c r="I662" i="1"/>
  <c r="L543" i="1"/>
  <c r="L538" i="1"/>
  <c r="L533" i="1"/>
  <c r="L528" i="1"/>
  <c r="F544" i="1"/>
  <c r="L523" i="1"/>
  <c r="J641" i="1"/>
  <c r="L381" i="1"/>
  <c r="G635" i="1" s="1"/>
  <c r="J635" i="1" s="1"/>
  <c r="J619" i="1"/>
  <c r="F50" i="2"/>
  <c r="F660" i="1"/>
  <c r="D29" i="13"/>
  <c r="C29" i="13" s="1"/>
  <c r="H660" i="1"/>
  <c r="G660" i="1"/>
  <c r="L361" i="1"/>
  <c r="D126" i="2"/>
  <c r="D127" i="2" s="1"/>
  <c r="D144" i="2" s="1"/>
  <c r="E90" i="2"/>
  <c r="H51" i="1"/>
  <c r="H618" i="1" s="1"/>
  <c r="J618" i="1" s="1"/>
  <c r="D31" i="2"/>
  <c r="D50" i="2"/>
  <c r="F139" i="1"/>
  <c r="C31" i="2"/>
  <c r="F51" i="1"/>
  <c r="H616" i="1" s="1"/>
  <c r="J616" i="1" s="1"/>
  <c r="C24" i="10"/>
  <c r="L327" i="1"/>
  <c r="J337" i="1"/>
  <c r="J351" i="1" s="1"/>
  <c r="E118" i="2"/>
  <c r="E127" i="2" s="1"/>
  <c r="E109" i="2"/>
  <c r="K337" i="1"/>
  <c r="K351" i="1" s="1"/>
  <c r="I337" i="1"/>
  <c r="I351" i="1" s="1"/>
  <c r="E108" i="2"/>
  <c r="L289" i="1"/>
  <c r="C32" i="10"/>
  <c r="G650" i="1"/>
  <c r="J650" i="1" s="1"/>
  <c r="H661" i="1"/>
  <c r="C20" i="10"/>
  <c r="C18" i="10"/>
  <c r="C110" i="2"/>
  <c r="G256" i="1"/>
  <c r="G270" i="1" s="1"/>
  <c r="C121" i="2"/>
  <c r="C17" i="10"/>
  <c r="L246" i="1"/>
  <c r="K256" i="1"/>
  <c r="K270" i="1" s="1"/>
  <c r="I256" i="1"/>
  <c r="I270" i="1" s="1"/>
  <c r="D14" i="13"/>
  <c r="C14" i="13" s="1"/>
  <c r="C16" i="10"/>
  <c r="C15" i="10"/>
  <c r="C123" i="2"/>
  <c r="J649" i="1"/>
  <c r="L228" i="1"/>
  <c r="C122" i="2"/>
  <c r="C19" i="10"/>
  <c r="C111" i="2"/>
  <c r="F256" i="1"/>
  <c r="F270" i="1" s="1"/>
  <c r="A22" i="12"/>
  <c r="C11" i="10"/>
  <c r="C108" i="2"/>
  <c r="G33" i="13"/>
  <c r="D6" i="13"/>
  <c r="C6" i="13" s="1"/>
  <c r="D15" i="13"/>
  <c r="C15" i="13" s="1"/>
  <c r="E8" i="13"/>
  <c r="C8" i="13" s="1"/>
  <c r="E13" i="13"/>
  <c r="C13" i="13" s="1"/>
  <c r="F661" i="1"/>
  <c r="I661" i="1" s="1"/>
  <c r="C21" i="10"/>
  <c r="G648" i="1"/>
  <c r="J648" i="1" s="1"/>
  <c r="D12" i="13"/>
  <c r="C12" i="13" s="1"/>
  <c r="C120" i="2"/>
  <c r="C119" i="2"/>
  <c r="D7" i="13"/>
  <c r="C7" i="13" s="1"/>
  <c r="C118" i="2"/>
  <c r="C117" i="2"/>
  <c r="L210" i="1"/>
  <c r="C10" i="10"/>
  <c r="G161" i="2"/>
  <c r="G159" i="2"/>
  <c r="G155" i="2"/>
  <c r="K502" i="1"/>
  <c r="G160" i="2"/>
  <c r="K499" i="1"/>
  <c r="C77" i="2"/>
  <c r="C80" i="2"/>
  <c r="E77" i="2"/>
  <c r="E80" i="2" s="1"/>
  <c r="F103" i="2"/>
  <c r="L426" i="1"/>
  <c r="J256" i="1"/>
  <c r="H111" i="1"/>
  <c r="F111" i="1"/>
  <c r="J640" i="1"/>
  <c r="J638" i="1"/>
  <c r="K604" i="1"/>
  <c r="G647" i="1" s="1"/>
  <c r="J570" i="1"/>
  <c r="K570" i="1"/>
  <c r="L432" i="1"/>
  <c r="L418" i="1"/>
  <c r="D80" i="2"/>
  <c r="D103" i="2" s="1"/>
  <c r="I168" i="1"/>
  <c r="H168" i="1"/>
  <c r="C39" i="10" s="1"/>
  <c r="G551" i="1"/>
  <c r="L433" i="1"/>
  <c r="G637" i="1" s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 s="1"/>
  <c r="C23" i="10"/>
  <c r="F168" i="1"/>
  <c r="J139" i="1"/>
  <c r="J637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H139" i="1"/>
  <c r="L400" i="1"/>
  <c r="C138" i="2" s="1"/>
  <c r="L392" i="1"/>
  <c r="A13" i="12"/>
  <c r="F22" i="13"/>
  <c r="H25" i="13"/>
  <c r="C103" i="2"/>
  <c r="E103" i="2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F551" i="1"/>
  <c r="C35" i="10"/>
  <c r="L308" i="1"/>
  <c r="D5" i="13"/>
  <c r="E16" i="13"/>
  <c r="C49" i="2"/>
  <c r="C50" i="2" s="1"/>
  <c r="J654" i="1"/>
  <c r="J644" i="1"/>
  <c r="J192" i="1"/>
  <c r="L569" i="1"/>
  <c r="I570" i="1"/>
  <c r="I544" i="1"/>
  <c r="G36" i="2"/>
  <c r="G49" i="2" s="1"/>
  <c r="G50" i="2" s="1"/>
  <c r="J50" i="1"/>
  <c r="L564" i="1"/>
  <c r="G544" i="1"/>
  <c r="H544" i="1"/>
  <c r="K550" i="1"/>
  <c r="F143" i="2"/>
  <c r="F144" i="2" s="1"/>
  <c r="L570" i="1" l="1"/>
  <c r="L544" i="1"/>
  <c r="K551" i="1"/>
  <c r="I660" i="1"/>
  <c r="C27" i="10"/>
  <c r="C28" i="10" s="1"/>
  <c r="D23" i="10" s="1"/>
  <c r="G634" i="1"/>
  <c r="J634" i="1" s="1"/>
  <c r="H192" i="1"/>
  <c r="G628" i="1" s="1"/>
  <c r="J628" i="1" s="1"/>
  <c r="C38" i="10"/>
  <c r="C36" i="10"/>
  <c r="H659" i="1"/>
  <c r="H663" i="1" s="1"/>
  <c r="H666" i="1" s="1"/>
  <c r="H647" i="1"/>
  <c r="J647" i="1" s="1"/>
  <c r="E114" i="2"/>
  <c r="E144" i="2" s="1"/>
  <c r="C114" i="2"/>
  <c r="L256" i="1"/>
  <c r="L270" i="1" s="1"/>
  <c r="G631" i="1" s="1"/>
  <c r="J631" i="1" s="1"/>
  <c r="J270" i="1"/>
  <c r="C127" i="2"/>
  <c r="F659" i="1"/>
  <c r="F663" i="1" s="1"/>
  <c r="F666" i="1" s="1"/>
  <c r="F192" i="1"/>
  <c r="G626" i="1" s="1"/>
  <c r="J626" i="1" s="1"/>
  <c r="C5" i="13"/>
  <c r="C22" i="13"/>
  <c r="F33" i="13"/>
  <c r="C137" i="2"/>
  <c r="C140" i="2" s="1"/>
  <c r="C143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G630" i="1"/>
  <c r="J630" i="1" s="1"/>
  <c r="G645" i="1"/>
  <c r="G625" i="1"/>
  <c r="J51" i="1"/>
  <c r="H620" i="1" s="1"/>
  <c r="J620" i="1" s="1"/>
  <c r="C41" i="10" l="1"/>
  <c r="D39" i="10" s="1"/>
  <c r="H671" i="1"/>
  <c r="C6" i="10" s="1"/>
  <c r="D26" i="10"/>
  <c r="D10" i="10"/>
  <c r="D12" i="10"/>
  <c r="D15" i="10"/>
  <c r="D13" i="10"/>
  <c r="C30" i="10"/>
  <c r="D17" i="10"/>
  <c r="D19" i="10"/>
  <c r="D11" i="10"/>
  <c r="D21" i="10"/>
  <c r="D16" i="10"/>
  <c r="D22" i="10"/>
  <c r="D20" i="10"/>
  <c r="D18" i="10"/>
  <c r="D27" i="10"/>
  <c r="D24" i="10"/>
  <c r="D25" i="10"/>
  <c r="C144" i="2"/>
  <c r="F671" i="1"/>
  <c r="C4" i="10" s="1"/>
  <c r="G636" i="1"/>
  <c r="J636" i="1" s="1"/>
  <c r="H645" i="1"/>
  <c r="J645" i="1" s="1"/>
  <c r="D33" i="13"/>
  <c r="D36" i="13" s="1"/>
  <c r="G663" i="1"/>
  <c r="I659" i="1"/>
  <c r="I663" i="1" s="1"/>
  <c r="J625" i="1"/>
  <c r="H655" i="1" l="1"/>
  <c r="D36" i="10"/>
  <c r="D40" i="10"/>
  <c r="D35" i="10"/>
  <c r="D38" i="10"/>
  <c r="D37" i="10"/>
  <c r="D28" i="10"/>
  <c r="I666" i="1"/>
  <c r="I671" i="1"/>
  <c r="C7" i="10" s="1"/>
  <c r="G671" i="1"/>
  <c r="C5" i="10" s="1"/>
  <c r="G666" i="1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<sst xmlns="http://schemas.openxmlformats.org/spreadsheetml/2006/main" count="3955" uniqueCount="921">
  <si>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</si>
  <si>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</si>
  <si>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</si>
  <si>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</si>
  <si>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</si>
  <si>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</si>
  <si>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</si>
  <si>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</si>
  <si>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</si>
  <si>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</si>
  <si>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</si>
  <si>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</si>
  <si>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</si>
  <si>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</si>
  <si>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</si>
  <si>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</si>
  <si>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</si>
  <si>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</si>
  <si>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</si>
  <si>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</si>
  <si>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</si>
  <si>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</si>
  <si>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</si>
  <si>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</si>
  <si>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</si>
  <si>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</si>
  <si>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</si>
  <si>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</si>
  <si>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</si>
  <si>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</si>
  <si>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</si>
  <si>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</si>
  <si>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</si>
  <si>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</si>
  <si>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</si>
  <si>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</si>
  <si>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</si>
  <si>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</si>
  <si>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</si>
  <si>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</si>
  <si>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</si>
  <si>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</si>
  <si>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</si>
  <si>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</si>
  <si>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</si>
  <si>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</si>
  <si>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</si>
  <si>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</si>
  <si>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</si>
  <si>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</si>
  <si>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</si>
  <si>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</si>
  <si>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</si>
  <si>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</si>
  <si>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</si>
  <si>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</si>
  <si>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</si>
  <si>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</si>
  <si>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</si>
  <si>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</si>
  <si>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</si>
  <si>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</si>
  <si>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</si>
  <si>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</si>
  <si>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</si>
  <si>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</si>
  <si>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</si>
  <si>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</si>
  <si>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</si>
  <si>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</si>
  <si>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</si>
  <si>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</si>
  <si>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</si>
  <si>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</si>
  <si>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</si>
  <si>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</si>
  <si>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</si>
  <si>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</si>
  <si>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</si>
  <si>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</si>
  <si>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</si>
  <si>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</si>
  <si>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</si>
  <si>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</si>
  <si>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</si>
  <si>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</si>
  <si>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</si>
  <si>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</si>
  <si>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</si>
  <si>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</si>
  <si>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</si>
  <si>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</si>
  <si>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</si>
  <si>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</si>
  <si>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</si>
  <si>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</si>
  <si>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</si>
  <si>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</si>
  <si>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</si>
  <si>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</si>
  <si>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</si>
  <si>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</si>
  <si>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</si>
  <si>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</si>
  <si>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</si>
  <si>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</si>
  <si>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</si>
  <si>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</si>
  <si>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</si>
  <si>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</si>
  <si>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</si>
  <si>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</si>
  <si>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</si>
  <si>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</si>
  <si>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</si>
  <si>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</si>
  <si>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</si>
  <si>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</si>
  <si>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</si>
  <si>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</si>
  <si>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</si>
  <si>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</si>
  <si>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</si>
  <si>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</si>
  <si>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</si>
  <si>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</si>
  <si>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</si>
  <si>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</si>
  <si>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</si>
  <si>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</si>
  <si>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</si>
  <si>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</si>
  <si>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</si>
  <si>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</si>
  <si>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</si>
  <si>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</si>
  <si>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</si>
  <si>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</si>
  <si>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</si>
  <si>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</si>
  <si>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</si>
  <si>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</si>
  <si>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</si>
  <si>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</si>
  <si>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</si>
  <si>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</si>
  <si>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</si>
  <si>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</si>
  <si>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</si>
  <si>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</si>
  <si>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</si>
  <si>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</si>
  <si>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</si>
  <si>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</si>
  <si>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</si>
  <si>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</si>
  <si>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</si>
  <si>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</si>
  <si>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</si>
  <si>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</si>
  <si>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</si>
  <si>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</si>
  <si>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</si>
  <si>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</si>
  <si>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</si>
  <si>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</si>
  <si>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</si>
  <si>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</si>
  <si>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</si>
  <si>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</si>
  <si>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</si>
  <si>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</si>
  <si>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</si>
  <si>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</si>
  <si>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</si>
  <si>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</si>
  <si>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</si>
  <si>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</si>
  <si>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</si>
  <si>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</si>
  <si>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</si>
  <si>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</si>
  <si>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</si>
  <si>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</si>
  <si>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</si>
  <si>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</si>
  <si>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</si>
  <si>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</si>
  <si>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</si>
  <si>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</si>
  <si>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</si>
  <si>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</si>
  <si>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</si>
  <si>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</si>
  <si>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</si>
  <si>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</si>
  <si>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</si>
  <si>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</si>
  <si>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</si>
  <si>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</si>
  <si>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</si>
  <si>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</si>
  <si>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</si>
  <si>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</si>
  <si>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</si>
  <si>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</si>
  <si>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</si>
  <si>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</si>
  <si>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</si>
  <si>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</si>
  <si>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</si>
  <si>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</si>
  <si>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</si>
  <si>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</si>
  <si>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</si>
  <si>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</si>
  <si>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</si>
  <si>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</si>
  <si>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</si>
  <si>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</si>
  <si>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</si>
  <si>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</si>
  <si>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</si>
  <si>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</si>
  <si>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</si>
  <si>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</si>
  <si>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</si>
  <si>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</si>
  <si>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</si>
  <si>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</si>
  <si>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</si>
  <si>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</si>
  <si>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</si>
  <si>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</si>
  <si>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</si>
  <si>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</si>
  <si>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</si>
  <si>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</si>
  <si>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</si>
  <si>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</si>
  <si>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</si>
  <si>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</si>
  <si>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</si>
  <si>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</si>
  <si>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</si>
  <si>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</si>
  <si>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</si>
  <si>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</si>
  <si>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</si>
  <si>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</si>
  <si>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</si>
  <si>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</si>
  <si>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</si>
  <si>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</si>
  <si>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</si>
  <si>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</si>
  <si>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</si>
  <si>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</si>
  <si>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</si>
  <si>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</si>
  <si>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</si>
  <si>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</si>
  <si>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</si>
  <si>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</si>
  <si>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</si>
  <si>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</si>
  <si>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</si>
  <si>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</si>
  <si>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</si>
  <si>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</si>
  <si>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</si>
  <si>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</si>
  <si>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</si>
  <si>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</si>
  <si>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</si>
  <si>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</si>
  <si>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</si>
  <si>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</si>
  <si>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</si>
  <si>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</si>
  <si>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</si>
  <si>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</si>
  <si>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</si>
  <si>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</si>
  <si>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</si>
  <si>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</si>
  <si>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</si>
  <si>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</si>
  <si>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</si>
  <si>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</si>
  <si>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</si>
  <si>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</si>
  <si>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</si>
  <si>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</si>
  <si>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</si>
  <si>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</si>
  <si>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</si>
  <si>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</si>
  <si>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</si>
  <si>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</si>
  <si>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</si>
  <si>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</si>
  <si>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</si>
  <si>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</si>
  <si>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</si>
  <si>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</si>
  <si>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</si>
  <si>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</si>
  <si>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</si>
  <si>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</si>
  <si>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</si>
  <si>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</si>
  <si>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</si>
  <si>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</si>
  <si>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</si>
  <si>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</si>
  <si>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</si>
  <si>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</si>
  <si>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</si>
  <si>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</si>
  <si>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</si>
  <si>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</si>
  <si>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</si>
  <si>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</si>
  <si>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</si>
  <si>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</si>
  <si>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</si>
  <si>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</si>
  <si>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</si>
  <si>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</si>
  <si>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</si>
  <si>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</si>
  <si>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</si>
  <si>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</si>
  <si>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</si>
  <si>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</si>
  <si>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</si>
  <si>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</si>
  <si>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</si>
  <si>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</si>
  <si>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</si>
  <si>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</si>
  <si>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</si>
  <si>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</si>
  <si>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</si>
  <si>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</si>
  <si>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</si>
  <si>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</si>
  <si>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</si>
  <si>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</si>
  <si>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</si>
  <si>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</si>
  <si>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</si>
  <si>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</si>
  <si>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</si>
  <si>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</si>
  <si>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</si>
  <si>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</si>
  <si>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</si>
  <si>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</si>
  <si>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</si>
  <si>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</si>
  <si>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</si>
  <si>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</si>
  <si>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</si>
  <si>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</si>
  <si>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</si>
  <si>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</si>
  <si>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</si>
  <si>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</si>
  <si>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</si>
  <si>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</si>
  <si>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</si>
  <si>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</si>
  <si>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</si>
  <si>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</si>
  <si>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</si>
  <si>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</si>
  <si>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</si>
  <si>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</si>
  <si>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</si>
  <si>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</si>
  <si>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</si>
  <si>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</si>
  <si>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</si>
  <si>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</si>
  <si>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</si>
  <si>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</si>
  <si>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</si>
  <si>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</si>
  <si>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</si>
  <si>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</si>
  <si>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</si>
  <si>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</si>
  <si>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</si>
  <si>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</si>
  <si>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</si>
  <si>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</si>
  <si>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</si>
  <si>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</si>
  <si>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</si>
  <si>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</si>
  <si>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</si>
  <si>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</si>
  <si>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</si>
  <si>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</si>
  <si>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</si>
  <si>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</si>
  <si>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</si>
  <si>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</si>
  <si>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</si>
  <si>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</si>
  <si>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</si>
  <si>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</si>
  <si>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</si>
  <si>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</si>
  <si>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</si>
  <si>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</si>
  <si>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</si>
  <si>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</si>
  <si>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</si>
  <si>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</si>
  <si>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</si>
  <si>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</si>
  <si>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</si>
  <si>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</si>
  <si>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</si>
  <si>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</si>
  <si>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</si>
  <si>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</si>
  <si>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</si>
  <si>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</si>
  <si>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</si>
  <si>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</si>
  <si>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</si>
  <si>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</si>
  <si>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</si>
  <si>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</si>
  <si>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</si>
  <si>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</si>
  <si>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</si>
  <si>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</si>
  <si>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</si>
  <si>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</si>
  <si>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</si>
  <si>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</si>
  <si>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</si>
  <si>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</si>
  <si>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</si>
  <si>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</si>
  <si>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</si>
  <si>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</si>
  <si>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</si>
  <si>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</si>
  <si>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</si>
  <si>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</si>
  <si>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</si>
  <si>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</si>
  <si>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</si>
  <si>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</si>
  <si>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</si>
  <si>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</si>
  <si>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</si>
  <si>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</si>
  <si>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</si>
  <si>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</si>
  <si>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</si>
  <si>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</si>
  <si>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</si>
  <si>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</si>
  <si>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</si>
  <si>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</si>
  <si>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</si>
  <si>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</si>
  <si>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</si>
  <si>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</si>
  <si>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</si>
  <si>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</si>
  <si>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</si>
  <si>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</si>
  <si>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</si>
  <si>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</si>
  <si>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</si>
  <si>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</si>
  <si>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</si>
  <si>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</si>
  <si>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</si>
  <si>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</si>
  <si>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</si>
  <si>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</si>
  <si>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</si>
  <si>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</si>
  <si>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</si>
  <si>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</si>
  <si>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</si>
  <si>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</si>
  <si>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</si>
  <si>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</si>
  <si>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</si>
  <si>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</si>
  <si>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</si>
  <si>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</si>
  <si>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</si>
  <si>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</si>
  <si>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</si>
  <si>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</si>
  <si>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</si>
  <si>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</si>
  <si>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</si>
  <si>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</si>
  <si>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</si>
  <si>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</si>
  <si>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</si>
  <si>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</si>
  <si>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</si>
  <si>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</si>
  <si>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</si>
  <si>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</si>
  <si>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</si>
  <si>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</si>
  <si>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</si>
  <si>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</si>
  <si>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</si>
  <si>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</si>
  <si>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</si>
  <si>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</si>
  <si>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</si>
  <si>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</si>
  <si>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</si>
  <si>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</si>
  <si>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</si>
  <si>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</si>
  <si>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</si>
  <si>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</si>
  <si>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</si>
  <si>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</si>
  <si>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</si>
  <si>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</si>
  <si>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</si>
  <si>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</si>
  <si>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</si>
  <si>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</si>
  <si>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</si>
  <si>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</si>
  <si>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</si>
  <si>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</si>
  <si>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</si>
  <si>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</si>
  <si>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</si>
  <si>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</si>
  <si>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</si>
  <si>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</si>
  <si>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</si>
  <si>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</si>
  <si>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</si>
  <si>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</si>
  <si>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</si>
  <si>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</si>
  <si>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</si>
  <si>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</si>
  <si>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</si>
  <si>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</si>
  <si>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</si>
  <si>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</si>
  <si>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</si>
  <si>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</si>
  <si>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</si>
  <si>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</si>
  <si>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</si>
  <si>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</si>
  <si>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</si>
  <si>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</si>
  <si>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</si>
  <si>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</si>
  <si>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</si>
  <si>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</si>
  <si>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</si>
  <si>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</si>
  <si>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</si>
  <si>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</si>
  <si>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</si>
  <si>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</si>
  <si>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</si>
  <si>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</si>
  <si>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</si>
  <si>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</si>
  <si>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</si>
  <si>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</si>
  <si>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</si>
  <si>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</si>
  <si>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</si>
  <si>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</si>
  <si>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</si>
  <si>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</si>
  <si>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</si>
  <si>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</si>
  <si>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</si>
  <si>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</si>
  <si>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</si>
  <si>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</si>
  <si>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</si>
  <si>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</si>
  <si>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</si>
  <si>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</si>
  <si>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</si>
  <si>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</si>
  <si>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</si>
  <si>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</si>
  <si>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</si>
  <si>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</si>
  <si>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</si>
  <si>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</si>
  <si>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</si>
  <si>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</si>
  <si>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</si>
  <si>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</si>
  <si>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</si>
  <si>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</si>
  <si>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</si>
  <si>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</si>
  <si>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</si>
  <si>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</si>
  <si>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</si>
  <si>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</si>
  <si>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</si>
  <si>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</si>
  <si>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</si>
  <si>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</si>
  <si>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</si>
  <si>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</si>
  <si>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</si>
  <si>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</si>
  <si>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</si>
  <si>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</si>
  <si>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</si>
  <si>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</si>
  <si>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</si>
  <si>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</si>
  <si>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</si>
  <si>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</si>
  <si>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</si>
  <si>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</si>
  <si>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</si>
  <si>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</si>
  <si>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</si>
  <si>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</si>
  <si>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</si>
  <si>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</si>
  <si>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</si>
  <si>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</si>
  <si>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</si>
  <si>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</si>
  <si>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</si>
  <si>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</si>
  <si>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</si>
  <si>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</si>
  <si>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</si>
  <si>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</si>
  <si>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</si>
  <si>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</si>
  <si>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</si>
  <si>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</si>
  <si>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</si>
  <si>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</si>
  <si>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</si>
  <si>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</si>
  <si>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</si>
  <si>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</si>
  <si>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</si>
  <si>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</si>
  <si>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</si>
  <si>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</si>
  <si>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</si>
  <si>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</si>
  <si>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</si>
  <si>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</si>
  <si>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</si>
  <si>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</si>
  <si>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</si>
  <si>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</si>
  <si>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</si>
  <si>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</si>
  <si>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</si>
  <si>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</si>
  <si>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</si>
  <si>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</si>
  <si>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</si>
  <si>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</si>
  <si>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</si>
  <si>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</si>
  <si>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</si>
  <si>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</si>
  <si>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</si>
  <si>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</si>
  <si>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</si>
  <si>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</si>
  <si>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</si>
  <si>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</si>
  <si>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</si>
  <si>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</si>
  <si>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</si>
  <si>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</si>
  <si>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</si>
  <si>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</si>
  <si>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</si>
  <si>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</si>
  <si>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</si>
  <si>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</si>
  <si>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</si>
  <si>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</si>
  <si>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</si>
  <si>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</si>
  <si>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</si>
  <si>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</si>
  <si>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</si>
  <si>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</si>
  <si>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</si>
  <si>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</si>
  <si>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</si>
  <si>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</si>
  <si>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</si>
  <si>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</si>
  <si>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</si>
  <si>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</si>
  <si>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</si>
  <si>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</si>
  <si>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</si>
  <si>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</si>
  <si>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</si>
  <si>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</si>
  <si>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</si>
  <si>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</si>
  <si>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</si>
  <si>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</si>
  <si>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</si>
  <si>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</si>
  <si>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</si>
  <si>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</si>
  <si>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</si>
  <si>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</si>
  <si>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</si>
  <si>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</si>
  <si>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</si>
  <si>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</si>
  <si>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</si>
  <si>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</si>
  <si>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</si>
  <si>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</si>
  <si>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</si>
  <si>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</si>
  <si>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</si>
  <si>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</si>
  <si>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</si>
  <si>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</si>
  <si>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</si>
  <si>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</si>
  <si>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</si>
  <si>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</si>
  <si>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</si>
  <si>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</si>
  <si>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</si>
  <si>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</si>
  <si>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</si>
  <si>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</si>
  <si>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</si>
  <si>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</si>
  <si>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</si>
  <si>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</si>
  <si>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</si>
  <si>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</si>
  <si>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</si>
  <si>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</si>
  <si>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</si>
  <si>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</si>
  <si>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</si>
  <si>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</si>
  <si>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</si>
  <si>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</si>
  <si>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</si>
  <si>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</si>
  <si>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</si>
  <si>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</si>
  <si>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</si>
  <si>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</si>
  <si>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</si>
  <si>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</si>
  <si>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</si>
  <si>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</si>
  <si>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</si>
  <si>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</si>
  <si>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</si>
  <si>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</si>
  <si>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</si>
  <si>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</si>
  <si>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</si>
  <si>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</si>
  <si>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</si>
  <si>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</si>
  <si>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</si>
  <si>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</si>
  <si>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</si>
  <si>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</si>
  <si>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</si>
  <si>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</si>
  <si>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</si>
  <si>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</si>
  <si>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</si>
  <si>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</si>
  <si>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</si>
  <si>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</si>
  <si>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</si>
  <si>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</si>
  <si>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</si>
  <si>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</si>
  <si>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</si>
  <si>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</si>
  <si>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</si>
  <si>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</si>
  <si>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</si>
  <si>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</si>
  <si>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</si>
  <si>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</si>
  <si>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</si>
  <si>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</si>
  <si>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</si>
  <si>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</si>
  <si>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</si>
  <si>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</si>
  <si>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</si>
  <si>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</si>
  <si>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</si>
  <si>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</si>
  <si>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</si>
  <si>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</si>
  <si>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</si>
  <si>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</si>
  <si>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</si>
  <si>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</si>
  <si>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</si>
  <si>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</si>
  <si>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</si>
  <si>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</si>
  <si>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</si>
  <si>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</si>
  <si>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</si>
  <si>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</si>
  <si>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</si>
  <si>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</si>
  <si>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</si>
  <si>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</si>
  <si>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</si>
  <si>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</si>
  <si>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</si>
  <si>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</si>
  <si>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</si>
  <si>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</si>
  <si>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</si>
  <si>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</si>
  <si>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</si>
  <si>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</si>
  <si>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</si>
  <si>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</si>
  <si>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</si>
  <si>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</si>
  <si>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</si>
  <si>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</si>
  <si>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</si>
  <si>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</si>
  <si>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</si>
  <si>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</si>
  <si>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</si>
  <si>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</si>
  <si>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</si>
  <si>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</si>
  <si>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</si>
  <si>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</si>
  <si>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</si>
  <si>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</si>
  <si>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</si>
  <si>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</si>
  <si>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</si>
  <si>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</si>
  <si>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</si>
  <si>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</si>
  <si>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</si>
  <si>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</si>
  <si>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</si>
  <si>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</si>
  <si>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</si>
  <si>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</si>
  <si>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</si>
  <si>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</si>
  <si>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</si>
  <si>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</si>
  <si>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</si>
  <si>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</si>
  <si>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</si>
  <si>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</si>
  <si>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</si>
  <si>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</si>
  <si>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</si>
  <si>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</si>
  <si>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</si>
  <si>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</si>
  <si>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</si>
  <si>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</si>
  <si>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</si>
  <si>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</si>
  <si>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</si>
  <si>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08/92</t>
  </si>
  <si>
    <t>08/02</t>
  </si>
  <si>
    <t>06/09</t>
  </si>
  <si>
    <t>07/09</t>
  </si>
  <si>
    <t>07/10</t>
  </si>
  <si>
    <t>08/12</t>
  </si>
  <si>
    <t>06/14</t>
  </si>
  <si>
    <t>07/39</t>
  </si>
  <si>
    <t>"5.3-6.2</t>
  </si>
  <si>
    <t>"3.0-4.0</t>
  </si>
  <si>
    <t>08/40</t>
  </si>
  <si>
    <t>Governor Wentworth Regional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</si>
</sst>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920</v>
      </c>
      <c r="B2" s="21">
        <v>208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2254082.35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10</v>
      </c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>
        <v>2514706.61</v>
      </c>
      <c r="J12" s="67">
        <f>SUM(I440)</f>
        <v>43934.1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1205884.42</v>
      </c>
      <c r="G13" s="18">
        <v>80797.009999999995</v>
      </c>
      <c r="H13" s="18">
        <v>379367.65</v>
      </c>
      <c r="I13" s="18"/>
      <c r="J13" s="67">
        <f>SUM(I441)</f>
        <v>895538.61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8187.71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3468164.48</v>
      </c>
      <c r="G19" s="41">
        <f>SUM(G9:G18)</f>
        <v>80797.009999999995</v>
      </c>
      <c r="H19" s="41">
        <f>SUM(H9:H18)</f>
        <v>379367.65</v>
      </c>
      <c r="I19" s="41">
        <f>SUM(I9:I18)</f>
        <v>2514706.61</v>
      </c>
      <c r="J19" s="41">
        <f>SUM(J9:J18)</f>
        <v>939472.71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2189388.89</v>
      </c>
      <c r="G22" s="18">
        <v>50777.05</v>
      </c>
      <c r="H22" s="18">
        <v>325909.63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>
        <v>1470355.16</v>
      </c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146742.5</v>
      </c>
      <c r="G28" s="18">
        <v>7822.25</v>
      </c>
      <c r="H28" s="18">
        <v>5775.03</v>
      </c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5743.89</v>
      </c>
      <c r="G30" s="18">
        <v>12500.2</v>
      </c>
      <c r="H30" s="18">
        <v>47682.99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2341875.2800000003</v>
      </c>
      <c r="G32" s="41">
        <f>SUM(G22:G31)</f>
        <v>71099.5</v>
      </c>
      <c r="H32" s="41">
        <f>SUM(H22:H31)</f>
        <v>379367.65</v>
      </c>
      <c r="I32" s="41">
        <f>SUM(I22:I31)</f>
        <v>1470355.16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>
        <v>9697.51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>
        <v>1044351.45</v>
      </c>
      <c r="J47" s="13">
        <f>SUM(I458)</f>
        <v>939472.71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33453.61</v>
      </c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1092835.5900000001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1126289.2000000002</v>
      </c>
      <c r="G50" s="41">
        <f>SUM(G35:G49)</f>
        <v>9697.51</v>
      </c>
      <c r="H50" s="41">
        <f>SUM(H35:H49)</f>
        <v>0</v>
      </c>
      <c r="I50" s="41">
        <f>SUM(I35:I49)</f>
        <v>1044351.45</v>
      </c>
      <c r="J50" s="41">
        <f>SUM(J35:J49)</f>
        <v>939472.71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3468164.4800000004</v>
      </c>
      <c r="G51" s="41">
        <f>G50+G32</f>
        <v>80797.009999999995</v>
      </c>
      <c r="H51" s="41">
        <f>H50+H32</f>
        <v>379367.65</v>
      </c>
      <c r="I51" s="41">
        <f>I50+I32</f>
        <v>2514706.61</v>
      </c>
      <c r="J51" s="41">
        <f>J50+J32</f>
        <v>939472.71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24417065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24417065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31310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6923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127981.84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259267.86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89658.81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515141.50999999995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2410.2800000000002</v>
      </c>
      <c r="G95" s="18"/>
      <c r="H95" s="18"/>
      <c r="I95" s="18">
        <v>3636.8</v>
      </c>
      <c r="J95" s="18">
        <v>21804.67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468271.75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12521.84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>
        <v>3587.44</v>
      </c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5507.09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2735.81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91247.77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118010.23000000001</v>
      </c>
      <c r="G110" s="41">
        <f>SUM(G95:G109)</f>
        <v>468271.75</v>
      </c>
      <c r="H110" s="41">
        <f>SUM(H95:H109)</f>
        <v>0</v>
      </c>
      <c r="I110" s="41">
        <f>SUM(I95:I109)</f>
        <v>3636.8</v>
      </c>
      <c r="J110" s="41">
        <f>SUM(J95:J109)</f>
        <v>21804.67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25050216.740000002</v>
      </c>
      <c r="G111" s="41">
        <f>G59+G110</f>
        <v>468271.75</v>
      </c>
      <c r="H111" s="41">
        <f>H59+H78+H93+H110</f>
        <v>0</v>
      </c>
      <c r="I111" s="41">
        <f>I59+I110</f>
        <v>3636.8</v>
      </c>
      <c r="J111" s="41">
        <f>J59+J110</f>
        <v>21804.67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4016319.13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10618316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3479.87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239977.8</v>
      </c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14878092.799999999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2184286.7400000002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211738.67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99825.74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11744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32637.66</v>
      </c>
      <c r="G134" s="18">
        <v>20384.57</v>
      </c>
      <c r="H134" s="18"/>
      <c r="I134" s="18">
        <v>761145.25</v>
      </c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2528488.8100000005</v>
      </c>
      <c r="G135" s="41">
        <f>SUM(G122:G134)</f>
        <v>32128.57</v>
      </c>
      <c r="H135" s="41">
        <f>SUM(H122:H134)</f>
        <v>0</v>
      </c>
      <c r="I135" s="41">
        <f>SUM(I122:I134)</f>
        <v>761145.25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17406581.609999999</v>
      </c>
      <c r="G139" s="41">
        <f>G120+SUM(G135:G136)</f>
        <v>32128.57</v>
      </c>
      <c r="H139" s="41">
        <f>H120+SUM(H135:H138)</f>
        <v>0</v>
      </c>
      <c r="I139" s="41">
        <f>I120+I135</f>
        <v>761145.25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794605.42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614996.47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106451.96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>
        <v>118125.12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440172.55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885199.76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0</v>
      </c>
      <c r="G161" s="41">
        <f>SUM(G149:G160)</f>
        <v>440172.55</v>
      </c>
      <c r="H161" s="41">
        <f>SUM(H149:H160)</f>
        <v>2519378.7300000004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0</v>
      </c>
      <c r="G168" s="41">
        <f>G146+G161+SUM(G162:G167)</f>
        <v>440172.55</v>
      </c>
      <c r="H168" s="41">
        <f>H146+H161+SUM(H162:H167)</f>
        <v>2519378.7300000004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>
        <v>3636.8</v>
      </c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3636.8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3636.8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42460435.149999999</v>
      </c>
      <c r="G192" s="47">
        <f>G111+G139+G168+G191</f>
        <v>940572.87</v>
      </c>
      <c r="H192" s="47">
        <f>H111+H139+H168+H191</f>
        <v>2519378.7300000004</v>
      </c>
      <c r="I192" s="47">
        <f>I111+I139+I168+I191</f>
        <v>764782.05</v>
      </c>
      <c r="J192" s="47">
        <f>J111+J139+J191</f>
        <v>21804.67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5034263.3</v>
      </c>
      <c r="G196" s="18">
        <v>2247428.5099999998</v>
      </c>
      <c r="H196" s="18">
        <v>80872.81</v>
      </c>
      <c r="I196" s="18">
        <v>252086.37</v>
      </c>
      <c r="J196" s="18">
        <v>75892.539999999994</v>
      </c>
      <c r="K196" s="18">
        <v>1118.28</v>
      </c>
      <c r="L196" s="19">
        <f>SUM(F196:K196)</f>
        <v>7691661.8099999996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2385979.63</v>
      </c>
      <c r="G197" s="18">
        <v>1040183.36</v>
      </c>
      <c r="H197" s="18">
        <v>532739.61</v>
      </c>
      <c r="I197" s="18">
        <v>20384.95</v>
      </c>
      <c r="J197" s="18">
        <v>5292.82</v>
      </c>
      <c r="K197" s="18">
        <v>997</v>
      </c>
      <c r="L197" s="19">
        <f>SUM(F197:K197)</f>
        <v>3985577.3699999996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28354.5</v>
      </c>
      <c r="G199" s="18">
        <v>4931.46</v>
      </c>
      <c r="H199" s="18"/>
      <c r="I199" s="18"/>
      <c r="J199" s="18"/>
      <c r="K199" s="18"/>
      <c r="L199" s="19">
        <f>SUM(F199:K199)</f>
        <v>33285.96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554355.71</v>
      </c>
      <c r="G201" s="18">
        <v>256628.51</v>
      </c>
      <c r="H201" s="18">
        <v>140604.88</v>
      </c>
      <c r="I201" s="18">
        <v>7026.71</v>
      </c>
      <c r="J201" s="18">
        <v>455.39</v>
      </c>
      <c r="K201" s="18">
        <v>150</v>
      </c>
      <c r="L201" s="19">
        <f t="shared" ref="L201:L207" si="0">SUM(F201:K201)</f>
        <v>959221.2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393268.03</v>
      </c>
      <c r="G202" s="18">
        <v>222028.21</v>
      </c>
      <c r="H202" s="18">
        <v>29010.39</v>
      </c>
      <c r="I202" s="18">
        <v>80359.39</v>
      </c>
      <c r="J202" s="18">
        <v>16617.37</v>
      </c>
      <c r="K202" s="18">
        <v>36.9</v>
      </c>
      <c r="L202" s="19">
        <f t="shared" si="0"/>
        <v>741320.29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153155.85999999999</v>
      </c>
      <c r="G203" s="18">
        <v>91286.18</v>
      </c>
      <c r="H203" s="18">
        <v>46936.18</v>
      </c>
      <c r="I203" s="18">
        <v>12736.06</v>
      </c>
      <c r="J203" s="18">
        <v>1263.43</v>
      </c>
      <c r="K203" s="18">
        <v>4588.04</v>
      </c>
      <c r="L203" s="19">
        <f t="shared" si="0"/>
        <v>309965.74999999994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706324.92</v>
      </c>
      <c r="G204" s="18">
        <v>376850.47</v>
      </c>
      <c r="H204" s="18">
        <v>104150.44</v>
      </c>
      <c r="I204" s="18">
        <v>14461.46</v>
      </c>
      <c r="J204" s="18">
        <v>19673.53</v>
      </c>
      <c r="K204" s="18">
        <v>2638.96</v>
      </c>
      <c r="L204" s="19">
        <f t="shared" si="0"/>
        <v>1224099.78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129600.05</v>
      </c>
      <c r="G205" s="18">
        <v>38270.68</v>
      </c>
      <c r="H205" s="18">
        <v>15626.19</v>
      </c>
      <c r="I205" s="18">
        <v>7503.22</v>
      </c>
      <c r="J205" s="18">
        <v>905.43</v>
      </c>
      <c r="K205" s="18">
        <v>11383.11</v>
      </c>
      <c r="L205" s="19">
        <f t="shared" si="0"/>
        <v>203288.68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779368.84</v>
      </c>
      <c r="G206" s="18">
        <v>310126.14</v>
      </c>
      <c r="H206" s="18">
        <v>374851.62</v>
      </c>
      <c r="I206" s="18">
        <v>445262.81</v>
      </c>
      <c r="J206" s="18">
        <v>19984.34</v>
      </c>
      <c r="K206" s="18"/>
      <c r="L206" s="19">
        <f t="shared" si="0"/>
        <v>1929593.7500000002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733579.44</v>
      </c>
      <c r="G207" s="18">
        <v>249877.44</v>
      </c>
      <c r="H207" s="18">
        <v>275774.51</v>
      </c>
      <c r="I207" s="18">
        <v>150831.18</v>
      </c>
      <c r="J207" s="18">
        <v>82287.100000000006</v>
      </c>
      <c r="K207" s="18"/>
      <c r="L207" s="19">
        <f t="shared" si="0"/>
        <v>1492349.67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10898250.279999999</v>
      </c>
      <c r="G210" s="41">
        <f t="shared" si="1"/>
        <v>4837610.96</v>
      </c>
      <c r="H210" s="41">
        <f t="shared" si="1"/>
        <v>1600566.6300000001</v>
      </c>
      <c r="I210" s="41">
        <f t="shared" si="1"/>
        <v>990652.14999999991</v>
      </c>
      <c r="J210" s="41">
        <f t="shared" si="1"/>
        <v>222371.94999999998</v>
      </c>
      <c r="K210" s="41">
        <f t="shared" si="1"/>
        <v>20912.29</v>
      </c>
      <c r="L210" s="41">
        <f t="shared" si="1"/>
        <v>18570364.259999998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2107773.98</v>
      </c>
      <c r="G214" s="18">
        <v>1101629.01</v>
      </c>
      <c r="H214" s="18">
        <v>62283.199999999997</v>
      </c>
      <c r="I214" s="18">
        <v>99015.97</v>
      </c>
      <c r="J214" s="18">
        <v>182244.72</v>
      </c>
      <c r="K214" s="18">
        <v>74</v>
      </c>
      <c r="L214" s="19">
        <f>SUM(F214:K214)</f>
        <v>3553020.8800000008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787092.81</v>
      </c>
      <c r="G215" s="18">
        <v>356562.46</v>
      </c>
      <c r="H215" s="18">
        <v>26746.49</v>
      </c>
      <c r="I215" s="18">
        <v>21203.32</v>
      </c>
      <c r="J215" s="18">
        <v>3038.59</v>
      </c>
      <c r="K215" s="18">
        <v>360.8</v>
      </c>
      <c r="L215" s="19">
        <f>SUM(F215:K215)</f>
        <v>1195004.4700000002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55431.42</v>
      </c>
      <c r="G217" s="18">
        <v>9582.4699999999993</v>
      </c>
      <c r="H217" s="18">
        <v>8651.69</v>
      </c>
      <c r="I217" s="18">
        <v>4825.1099999999997</v>
      </c>
      <c r="J217" s="18">
        <v>7885.01</v>
      </c>
      <c r="K217" s="18"/>
      <c r="L217" s="19">
        <f>SUM(F217:K217)</f>
        <v>86375.7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169455.49</v>
      </c>
      <c r="G219" s="18">
        <v>92566.06</v>
      </c>
      <c r="H219" s="18">
        <v>50770.58</v>
      </c>
      <c r="I219" s="18">
        <v>3209.17</v>
      </c>
      <c r="J219" s="18">
        <v>2112.6799999999998</v>
      </c>
      <c r="K219" s="18">
        <v>464</v>
      </c>
      <c r="L219" s="19">
        <f t="shared" ref="L219:L225" si="2">SUM(F219:K219)</f>
        <v>318577.98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70821.31</v>
      </c>
      <c r="G220" s="18">
        <v>71014.179999999993</v>
      </c>
      <c r="H220" s="18">
        <v>11816.67</v>
      </c>
      <c r="I220" s="18">
        <v>26920.84</v>
      </c>
      <c r="J220" s="18">
        <v>8578.39</v>
      </c>
      <c r="K220" s="18">
        <v>1327</v>
      </c>
      <c r="L220" s="19">
        <f t="shared" si="2"/>
        <v>190478.39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51766.25</v>
      </c>
      <c r="G221" s="18">
        <v>31511.27</v>
      </c>
      <c r="H221" s="18">
        <v>18695.07</v>
      </c>
      <c r="I221" s="18">
        <v>5094.42</v>
      </c>
      <c r="J221" s="18">
        <v>505.37</v>
      </c>
      <c r="K221" s="18">
        <v>1835.22</v>
      </c>
      <c r="L221" s="19">
        <f t="shared" si="2"/>
        <v>109407.59999999999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253781.63</v>
      </c>
      <c r="G222" s="18">
        <v>133834.07999999999</v>
      </c>
      <c r="H222" s="18">
        <v>42828.05</v>
      </c>
      <c r="I222" s="18">
        <v>6446.1</v>
      </c>
      <c r="J222" s="18">
        <v>14166.84</v>
      </c>
      <c r="K222" s="18">
        <v>708</v>
      </c>
      <c r="L222" s="19">
        <f t="shared" si="2"/>
        <v>451764.69999999995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43505.71</v>
      </c>
      <c r="G223" s="18">
        <v>20554.599999999999</v>
      </c>
      <c r="H223" s="18">
        <v>6250.48</v>
      </c>
      <c r="I223" s="18">
        <v>3001.29</v>
      </c>
      <c r="J223" s="18">
        <v>362.17</v>
      </c>
      <c r="K223" s="18">
        <v>4553.24</v>
      </c>
      <c r="L223" s="19">
        <f t="shared" si="2"/>
        <v>78227.489999999991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103922.68</v>
      </c>
      <c r="G224" s="18">
        <v>86121.83</v>
      </c>
      <c r="H224" s="18">
        <v>135519.98000000001</v>
      </c>
      <c r="I224" s="18">
        <v>203780.06</v>
      </c>
      <c r="J224" s="18">
        <v>9125.02</v>
      </c>
      <c r="K224" s="18"/>
      <c r="L224" s="19">
        <f t="shared" si="2"/>
        <v>538469.57000000007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44893.49</v>
      </c>
      <c r="G225" s="18">
        <v>101616.3</v>
      </c>
      <c r="H225" s="18">
        <v>49948.73</v>
      </c>
      <c r="I225" s="18">
        <v>65127.64</v>
      </c>
      <c r="J225" s="18">
        <v>32914.839999999997</v>
      </c>
      <c r="K225" s="18"/>
      <c r="L225" s="19">
        <f t="shared" si="2"/>
        <v>294501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3688444.7700000005</v>
      </c>
      <c r="G228" s="41">
        <f>SUM(G214:G227)</f>
        <v>2004992.2600000002</v>
      </c>
      <c r="H228" s="41">
        <f>SUM(H214:H227)</f>
        <v>413510.94000000006</v>
      </c>
      <c r="I228" s="41">
        <f>SUM(I214:I227)</f>
        <v>438623.92000000004</v>
      </c>
      <c r="J228" s="41">
        <f>SUM(J214:J227)</f>
        <v>260933.63</v>
      </c>
      <c r="K228" s="41">
        <f t="shared" si="3"/>
        <v>9322.26</v>
      </c>
      <c r="L228" s="41">
        <f t="shared" si="3"/>
        <v>6815827.7800000012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3120932.83</v>
      </c>
      <c r="G232" s="18">
        <v>1780999.67</v>
      </c>
      <c r="H232" s="18">
        <v>401260.67</v>
      </c>
      <c r="I232" s="18">
        <v>173507.8</v>
      </c>
      <c r="J232" s="18">
        <v>319696.45</v>
      </c>
      <c r="K232" s="18"/>
      <c r="L232" s="19">
        <f>SUM(F232:K232)</f>
        <v>5796397.4199999999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830944.55</v>
      </c>
      <c r="G233" s="18">
        <v>574399.46</v>
      </c>
      <c r="H233" s="18">
        <v>369885.11</v>
      </c>
      <c r="I233" s="18">
        <v>10481.11</v>
      </c>
      <c r="J233" s="18">
        <v>1672.28</v>
      </c>
      <c r="K233" s="18">
        <v>541.20000000000005</v>
      </c>
      <c r="L233" s="19">
        <f>SUM(F233:K233)</f>
        <v>1787923.7100000002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674389.09</v>
      </c>
      <c r="G234" s="18">
        <v>342758.59</v>
      </c>
      <c r="H234" s="18">
        <v>9665.49</v>
      </c>
      <c r="I234" s="18">
        <v>32788.19</v>
      </c>
      <c r="J234" s="18">
        <v>24284.58</v>
      </c>
      <c r="K234" s="18">
        <v>770.58</v>
      </c>
      <c r="L234" s="19">
        <f>SUM(F234:K234)</f>
        <v>1084656.52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266056.34999999998</v>
      </c>
      <c r="G235" s="18">
        <v>39162.339999999997</v>
      </c>
      <c r="H235" s="18">
        <v>83281.77</v>
      </c>
      <c r="I235" s="18">
        <v>17549.11</v>
      </c>
      <c r="J235" s="18">
        <v>34183.050000000003</v>
      </c>
      <c r="K235" s="18">
        <v>8327.74</v>
      </c>
      <c r="L235" s="19">
        <f>SUM(F235:K235)</f>
        <v>448560.35999999993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359414.07</v>
      </c>
      <c r="G237" s="18">
        <v>175915.9</v>
      </c>
      <c r="H237" s="18">
        <v>48021.1</v>
      </c>
      <c r="I237" s="18">
        <v>7415.66</v>
      </c>
      <c r="J237" s="18">
        <v>9986.9599999999991</v>
      </c>
      <c r="K237" s="18">
        <v>25</v>
      </c>
      <c r="L237" s="19">
        <f t="shared" ref="L237:L243" si="4">SUM(F237:K237)</f>
        <v>600778.68999999994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189774.72</v>
      </c>
      <c r="G238" s="18">
        <v>133746.39000000001</v>
      </c>
      <c r="H238" s="18">
        <v>34916.089999999997</v>
      </c>
      <c r="I238" s="18">
        <v>46229.56</v>
      </c>
      <c r="J238" s="18">
        <v>29313.3</v>
      </c>
      <c r="K238" s="18">
        <v>830</v>
      </c>
      <c r="L238" s="19">
        <f t="shared" si="4"/>
        <v>434810.05999999994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100486.81</v>
      </c>
      <c r="G239" s="18">
        <v>59631.32</v>
      </c>
      <c r="H239" s="18">
        <v>28042.61</v>
      </c>
      <c r="I239" s="18">
        <v>7641.64</v>
      </c>
      <c r="J239" s="18">
        <v>758.06</v>
      </c>
      <c r="K239" s="18">
        <v>2752.82</v>
      </c>
      <c r="L239" s="19">
        <f t="shared" si="4"/>
        <v>199313.26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388598.12</v>
      </c>
      <c r="G240" s="18">
        <v>233150.82</v>
      </c>
      <c r="H240" s="18">
        <v>102825.32</v>
      </c>
      <c r="I240" s="18">
        <v>25816.32</v>
      </c>
      <c r="J240" s="18">
        <v>3509.01</v>
      </c>
      <c r="K240" s="18">
        <v>4719.95</v>
      </c>
      <c r="L240" s="19">
        <f t="shared" si="4"/>
        <v>758619.53999999992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79752.63</v>
      </c>
      <c r="G241" s="18">
        <v>39117.300000000003</v>
      </c>
      <c r="H241" s="18">
        <v>9375.7099999999991</v>
      </c>
      <c r="I241" s="18">
        <v>8640.5300000000007</v>
      </c>
      <c r="J241" s="18">
        <v>543.26</v>
      </c>
      <c r="K241" s="18">
        <v>6829.87</v>
      </c>
      <c r="L241" s="19">
        <f t="shared" si="4"/>
        <v>144259.30000000002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358215.11</v>
      </c>
      <c r="G242" s="18">
        <v>190733.76</v>
      </c>
      <c r="H242" s="18">
        <v>321178.11</v>
      </c>
      <c r="I242" s="18">
        <v>588337.18999999994</v>
      </c>
      <c r="J242" s="18">
        <v>5165.6000000000004</v>
      </c>
      <c r="K242" s="18"/>
      <c r="L242" s="19">
        <f t="shared" si="4"/>
        <v>1463629.77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104972.85</v>
      </c>
      <c r="G243" s="18">
        <v>65379.55</v>
      </c>
      <c r="H243" s="18">
        <v>155926.53</v>
      </c>
      <c r="I243" s="18">
        <v>108800.85</v>
      </c>
      <c r="J243" s="18">
        <v>49372.26</v>
      </c>
      <c r="K243" s="18"/>
      <c r="L243" s="19">
        <f t="shared" si="4"/>
        <v>484452.04000000004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6473537.129999999</v>
      </c>
      <c r="G246" s="41">
        <f t="shared" si="5"/>
        <v>3634995.0999999987</v>
      </c>
      <c r="H246" s="41">
        <f t="shared" si="5"/>
        <v>1564378.51</v>
      </c>
      <c r="I246" s="41">
        <f t="shared" si="5"/>
        <v>1027207.9599999998</v>
      </c>
      <c r="J246" s="41">
        <f t="shared" si="5"/>
        <v>478484.81000000006</v>
      </c>
      <c r="K246" s="41">
        <f t="shared" si="5"/>
        <v>24797.16</v>
      </c>
      <c r="L246" s="41">
        <f t="shared" si="5"/>
        <v>13203400.669999998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10043.969999999999</v>
      </c>
      <c r="G250" s="18">
        <v>1866.21</v>
      </c>
      <c r="H250" s="18"/>
      <c r="I250" s="18"/>
      <c r="J250" s="18"/>
      <c r="K250" s="18"/>
      <c r="L250" s="19">
        <f t="shared" si="6"/>
        <v>11910.18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>
        <v>5655.19</v>
      </c>
      <c r="I252" s="18"/>
      <c r="J252" s="18"/>
      <c r="K252" s="18"/>
      <c r="L252" s="19">
        <f t="shared" si="6"/>
        <v>5655.19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>
        <v>149922.35999999999</v>
      </c>
      <c r="K254" s="18"/>
      <c r="L254" s="19">
        <f t="shared" si="6"/>
        <v>149922.35999999999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10043.969999999999</v>
      </c>
      <c r="G255" s="41">
        <f t="shared" si="7"/>
        <v>1866.21</v>
      </c>
      <c r="H255" s="41">
        <f t="shared" si="7"/>
        <v>5655.19</v>
      </c>
      <c r="I255" s="41">
        <f t="shared" si="7"/>
        <v>0</v>
      </c>
      <c r="J255" s="41">
        <f t="shared" si="7"/>
        <v>149922.35999999999</v>
      </c>
      <c r="K255" s="41">
        <f t="shared" si="7"/>
        <v>0</v>
      </c>
      <c r="L255" s="41">
        <f>SUM(F255:K255)</f>
        <v>167487.72999999998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21070276.149999999</v>
      </c>
      <c r="G256" s="41">
        <f t="shared" si="8"/>
        <v>10479464.530000001</v>
      </c>
      <c r="H256" s="41">
        <f t="shared" si="8"/>
        <v>3584111.27</v>
      </c>
      <c r="I256" s="41">
        <f t="shared" si="8"/>
        <v>2456484.0299999998</v>
      </c>
      <c r="J256" s="41">
        <f t="shared" si="8"/>
        <v>1111712.75</v>
      </c>
      <c r="K256" s="41">
        <f t="shared" si="8"/>
        <v>55031.710000000006</v>
      </c>
      <c r="L256" s="41">
        <f t="shared" si="8"/>
        <v>38757080.43999999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3846211.65</v>
      </c>
      <c r="L259" s="19">
        <f>SUM(F259:K259)</f>
        <v>3846211.65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285770.21000000002</v>
      </c>
      <c r="L260" s="19">
        <f>SUM(F260:K260)</f>
        <v>285770.21000000002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4131981.86</v>
      </c>
      <c r="L269" s="41">
        <f t="shared" si="9"/>
        <v>4131981.86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21070276.149999999</v>
      </c>
      <c r="G270" s="42">
        <f t="shared" si="11"/>
        <v>10479464.530000001</v>
      </c>
      <c r="H270" s="42">
        <f t="shared" si="11"/>
        <v>3584111.27</v>
      </c>
      <c r="I270" s="42">
        <f t="shared" si="11"/>
        <v>2456484.0299999998</v>
      </c>
      <c r="J270" s="42">
        <f t="shared" si="11"/>
        <v>1111712.75</v>
      </c>
      <c r="K270" s="42">
        <f t="shared" si="11"/>
        <v>4187013.57</v>
      </c>
      <c r="L270" s="42">
        <f t="shared" si="11"/>
        <v>42889062.29999999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608979.69999999995</v>
      </c>
      <c r="G275" s="18">
        <v>209944.48</v>
      </c>
      <c r="H275" s="18">
        <v>109719.93</v>
      </c>
      <c r="I275" s="18">
        <v>37459.46</v>
      </c>
      <c r="J275" s="18">
        <v>3902.28</v>
      </c>
      <c r="K275" s="18">
        <v>165.75</v>
      </c>
      <c r="L275" s="19">
        <f>SUM(F275:K275)</f>
        <v>970171.59999999986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142894.51</v>
      </c>
      <c r="G276" s="18">
        <v>93126.57</v>
      </c>
      <c r="H276" s="18">
        <v>8279.07</v>
      </c>
      <c r="I276" s="18">
        <v>15040.28</v>
      </c>
      <c r="J276" s="18">
        <v>151515.81</v>
      </c>
      <c r="K276" s="18"/>
      <c r="L276" s="19">
        <f>SUM(F276:K276)</f>
        <v>410856.24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1250</v>
      </c>
      <c r="G281" s="18">
        <v>95.18</v>
      </c>
      <c r="H281" s="18">
        <v>43136.480000000003</v>
      </c>
      <c r="I281" s="18">
        <v>3165</v>
      </c>
      <c r="J281" s="18"/>
      <c r="K281" s="18"/>
      <c r="L281" s="19">
        <f t="shared" si="12"/>
        <v>47646.66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>
        <v>4395.75</v>
      </c>
      <c r="G286" s="18">
        <v>738.15</v>
      </c>
      <c r="H286" s="18">
        <v>2745.75</v>
      </c>
      <c r="I286" s="18"/>
      <c r="J286" s="18"/>
      <c r="K286" s="18"/>
      <c r="L286" s="19">
        <f t="shared" si="12"/>
        <v>7879.65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757519.96</v>
      </c>
      <c r="G289" s="42">
        <f t="shared" si="13"/>
        <v>303904.38000000006</v>
      </c>
      <c r="H289" s="42">
        <f t="shared" si="13"/>
        <v>163881.23000000001</v>
      </c>
      <c r="I289" s="42">
        <f t="shared" si="13"/>
        <v>55664.74</v>
      </c>
      <c r="J289" s="42">
        <f t="shared" si="13"/>
        <v>155418.09</v>
      </c>
      <c r="K289" s="42">
        <f t="shared" si="13"/>
        <v>165.75</v>
      </c>
      <c r="L289" s="41">
        <f t="shared" si="13"/>
        <v>1436554.1499999997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93146.82</v>
      </c>
      <c r="G294" s="18">
        <v>10443</v>
      </c>
      <c r="H294" s="18">
        <v>6217.2</v>
      </c>
      <c r="I294" s="18">
        <v>4119.4399999999996</v>
      </c>
      <c r="J294" s="18">
        <v>1555.63</v>
      </c>
      <c r="K294" s="18">
        <v>55.25</v>
      </c>
      <c r="L294" s="19">
        <f>SUM(F294:K294)</f>
        <v>115537.34000000001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57157.8</v>
      </c>
      <c r="G295" s="18">
        <v>37250.629999999997</v>
      </c>
      <c r="H295" s="18">
        <v>3311.63</v>
      </c>
      <c r="I295" s="18">
        <v>6016.11</v>
      </c>
      <c r="J295" s="18">
        <v>60606.32</v>
      </c>
      <c r="K295" s="18"/>
      <c r="L295" s="19">
        <f>SUM(F295:K295)</f>
        <v>164342.49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500</v>
      </c>
      <c r="G300" s="18">
        <v>38.07</v>
      </c>
      <c r="H300" s="18">
        <v>17254.59</v>
      </c>
      <c r="I300" s="18">
        <v>1266</v>
      </c>
      <c r="J300" s="18"/>
      <c r="K300" s="18"/>
      <c r="L300" s="19">
        <f t="shared" si="14"/>
        <v>19058.66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>
        <v>1465.25</v>
      </c>
      <c r="G305" s="18">
        <v>246.05</v>
      </c>
      <c r="H305" s="18">
        <v>915.25</v>
      </c>
      <c r="I305" s="18"/>
      <c r="J305" s="18"/>
      <c r="K305" s="18"/>
      <c r="L305" s="19">
        <f t="shared" si="14"/>
        <v>2626.55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152269.87</v>
      </c>
      <c r="G308" s="42">
        <f t="shared" si="15"/>
        <v>47977.75</v>
      </c>
      <c r="H308" s="42">
        <f t="shared" si="15"/>
        <v>27698.67</v>
      </c>
      <c r="I308" s="42">
        <f t="shared" si="15"/>
        <v>11401.55</v>
      </c>
      <c r="J308" s="42">
        <f t="shared" si="15"/>
        <v>62161.95</v>
      </c>
      <c r="K308" s="42">
        <f t="shared" si="15"/>
        <v>55.25</v>
      </c>
      <c r="L308" s="41">
        <f t="shared" si="15"/>
        <v>301565.03999999998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132318.01999999999</v>
      </c>
      <c r="G313" s="18">
        <v>14392.34</v>
      </c>
      <c r="H313" s="18">
        <v>4063.91</v>
      </c>
      <c r="I313" s="18">
        <v>1499.6</v>
      </c>
      <c r="J313" s="18">
        <v>2293.8000000000002</v>
      </c>
      <c r="K313" s="18"/>
      <c r="L313" s="19">
        <f>SUM(F313:K313)</f>
        <v>154567.66999999998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85736.71</v>
      </c>
      <c r="G314" s="18">
        <v>55875.94</v>
      </c>
      <c r="H314" s="18">
        <v>4967.43</v>
      </c>
      <c r="I314" s="18">
        <v>9024.17</v>
      </c>
      <c r="J314" s="18">
        <v>90909.49</v>
      </c>
      <c r="K314" s="18"/>
      <c r="L314" s="19">
        <f>SUM(F314:K314)</f>
        <v>246513.74000000005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33785.800000000003</v>
      </c>
      <c r="G315" s="18">
        <v>21356.58</v>
      </c>
      <c r="H315" s="18">
        <v>11399.7</v>
      </c>
      <c r="I315" s="18"/>
      <c r="J315" s="18">
        <v>36175.24</v>
      </c>
      <c r="K315" s="18"/>
      <c r="L315" s="19">
        <f>SUM(F315:K315)</f>
        <v>102717.32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750</v>
      </c>
      <c r="G319" s="18">
        <v>57.11</v>
      </c>
      <c r="H319" s="18">
        <v>25881.88</v>
      </c>
      <c r="I319" s="18">
        <v>1899</v>
      </c>
      <c r="J319" s="18"/>
      <c r="K319" s="18">
        <v>3734.64</v>
      </c>
      <c r="L319" s="19">
        <f t="shared" si="16"/>
        <v>32322.63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252590.52999999997</v>
      </c>
      <c r="G327" s="42">
        <f t="shared" si="17"/>
        <v>91681.97</v>
      </c>
      <c r="H327" s="42">
        <f t="shared" si="17"/>
        <v>46312.92</v>
      </c>
      <c r="I327" s="42">
        <f t="shared" si="17"/>
        <v>12422.77</v>
      </c>
      <c r="J327" s="42">
        <f t="shared" si="17"/>
        <v>129378.53</v>
      </c>
      <c r="K327" s="42">
        <f t="shared" si="17"/>
        <v>3734.64</v>
      </c>
      <c r="L327" s="41">
        <f t="shared" si="17"/>
        <v>536121.36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77565.53</v>
      </c>
      <c r="G332" s="18">
        <v>35782.410000000003</v>
      </c>
      <c r="H332" s="18">
        <v>21778.54</v>
      </c>
      <c r="I332" s="18">
        <v>24135.67</v>
      </c>
      <c r="J332" s="18"/>
      <c r="K332" s="18">
        <v>952.99</v>
      </c>
      <c r="L332" s="19">
        <f t="shared" si="18"/>
        <v>160215.14000000001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>
        <v>48179.48</v>
      </c>
      <c r="G333" s="18">
        <v>36743.56</v>
      </c>
      <c r="H333" s="18"/>
      <c r="I333" s="18"/>
      <c r="J333" s="18"/>
      <c r="K333" s="18"/>
      <c r="L333" s="19">
        <f t="shared" si="18"/>
        <v>84923.040000000008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125745.01000000001</v>
      </c>
      <c r="G336" s="41">
        <f t="shared" si="19"/>
        <v>72525.97</v>
      </c>
      <c r="H336" s="41">
        <f t="shared" si="19"/>
        <v>21778.54</v>
      </c>
      <c r="I336" s="41">
        <f t="shared" si="19"/>
        <v>24135.67</v>
      </c>
      <c r="J336" s="41">
        <f t="shared" si="19"/>
        <v>0</v>
      </c>
      <c r="K336" s="41">
        <f t="shared" si="19"/>
        <v>952.99</v>
      </c>
      <c r="L336" s="41">
        <f t="shared" si="18"/>
        <v>245138.18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1288125.3699999999</v>
      </c>
      <c r="G337" s="41">
        <f t="shared" si="20"/>
        <v>516090.07000000007</v>
      </c>
      <c r="H337" s="41">
        <f t="shared" si="20"/>
        <v>259671.36000000002</v>
      </c>
      <c r="I337" s="41">
        <f t="shared" si="20"/>
        <v>103624.73</v>
      </c>
      <c r="J337" s="41">
        <f t="shared" si="20"/>
        <v>346958.56999999995</v>
      </c>
      <c r="K337" s="41">
        <f t="shared" si="20"/>
        <v>4908.63</v>
      </c>
      <c r="L337" s="41">
        <f t="shared" si="20"/>
        <v>2519378.73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1288125.3699999999</v>
      </c>
      <c r="G351" s="41">
        <f>G337</f>
        <v>516090.07000000007</v>
      </c>
      <c r="H351" s="41">
        <f>H337</f>
        <v>259671.36000000002</v>
      </c>
      <c r="I351" s="41">
        <f>I337</f>
        <v>103624.73</v>
      </c>
      <c r="J351" s="41">
        <f>J337</f>
        <v>346958.56999999995</v>
      </c>
      <c r="K351" s="47">
        <f>K337+K350</f>
        <v>4908.63</v>
      </c>
      <c r="L351" s="41">
        <f>L337+L350</f>
        <v>2519378.73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175297.48</v>
      </c>
      <c r="G357" s="18">
        <v>16691.05</v>
      </c>
      <c r="H357" s="18">
        <v>6494.5</v>
      </c>
      <c r="I357" s="18">
        <v>250600.23</v>
      </c>
      <c r="J357" s="18">
        <v>4171.18</v>
      </c>
      <c r="K357" s="18"/>
      <c r="L357" s="13">
        <f>SUM(F357:K357)</f>
        <v>453254.44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25910.5</v>
      </c>
      <c r="G358" s="18">
        <v>4177.12</v>
      </c>
      <c r="H358" s="18">
        <v>2597.8000000000002</v>
      </c>
      <c r="I358" s="18">
        <v>100240.09</v>
      </c>
      <c r="J358" s="18">
        <v>1668.46</v>
      </c>
      <c r="K358" s="18"/>
      <c r="L358" s="19">
        <f>SUM(F358:K358)</f>
        <v>134593.97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215154.88</v>
      </c>
      <c r="G359" s="18">
        <v>27218.92</v>
      </c>
      <c r="H359" s="18">
        <v>3896.7</v>
      </c>
      <c r="I359" s="18">
        <v>150360.14000000001</v>
      </c>
      <c r="J359" s="18">
        <v>2502.71</v>
      </c>
      <c r="K359" s="18"/>
      <c r="L359" s="19">
        <f>SUM(F359:K359)</f>
        <v>399133.35000000003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416362.86</v>
      </c>
      <c r="G361" s="47">
        <f t="shared" si="22"/>
        <v>48087.09</v>
      </c>
      <c r="H361" s="47">
        <f t="shared" si="22"/>
        <v>12989</v>
      </c>
      <c r="I361" s="47">
        <f t="shared" si="22"/>
        <v>501200.46</v>
      </c>
      <c r="J361" s="47">
        <f t="shared" si="22"/>
        <v>8342.35</v>
      </c>
      <c r="K361" s="47">
        <f t="shared" si="22"/>
        <v>0</v>
      </c>
      <c r="L361" s="47">
        <f t="shared" si="22"/>
        <v>986981.76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228641.02</v>
      </c>
      <c r="G366" s="18">
        <v>91456.41</v>
      </c>
      <c r="H366" s="18">
        <v>137184.60999999999</v>
      </c>
      <c r="I366" s="56">
        <f>SUM(F366:H366)</f>
        <v>457282.04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21959.21</v>
      </c>
      <c r="G367" s="63">
        <v>8783.68</v>
      </c>
      <c r="H367" s="63">
        <v>13175.53</v>
      </c>
      <c r="I367" s="56">
        <f>SUM(F367:H367)</f>
        <v>43918.42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250600.22999999998</v>
      </c>
      <c r="G368" s="47">
        <f>SUM(G366:G367)</f>
        <v>100240.09</v>
      </c>
      <c r="H368" s="47">
        <f>SUM(H366:H367)</f>
        <v>150360.13999999998</v>
      </c>
      <c r="I368" s="47">
        <f>SUM(I366:I367)</f>
        <v>501200.45999999996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>
        <v>524534.31000000006</v>
      </c>
      <c r="I378" s="18"/>
      <c r="J378" s="18">
        <v>15668034.74</v>
      </c>
      <c r="K378" s="18"/>
      <c r="L378" s="13">
        <f t="shared" si="23"/>
        <v>16192569.050000001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>
        <v>3636.8</v>
      </c>
      <c r="L380" s="13">
        <f t="shared" si="23"/>
        <v>3636.8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524534.31000000006</v>
      </c>
      <c r="I381" s="41">
        <f t="shared" si="24"/>
        <v>0</v>
      </c>
      <c r="J381" s="47">
        <f t="shared" si="24"/>
        <v>15668034.74</v>
      </c>
      <c r="K381" s="47">
        <f t="shared" si="24"/>
        <v>3636.8</v>
      </c>
      <c r="L381" s="47">
        <f t="shared" si="24"/>
        <v>16196205.850000001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3453.5</v>
      </c>
      <c r="I395" s="18"/>
      <c r="J395" s="24" t="s">
        <v>289</v>
      </c>
      <c r="K395" s="24" t="s">
        <v>289</v>
      </c>
      <c r="L395" s="56">
        <f t="shared" si="26"/>
        <v>3453.5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3666.83</v>
      </c>
      <c r="I396" s="18"/>
      <c r="J396" s="24" t="s">
        <v>289</v>
      </c>
      <c r="K396" s="24" t="s">
        <v>289</v>
      </c>
      <c r="L396" s="56">
        <f t="shared" si="26"/>
        <v>3666.83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v>14684.34</v>
      </c>
      <c r="I399" s="18"/>
      <c r="J399" s="24" t="s">
        <v>289</v>
      </c>
      <c r="K399" s="24" t="s">
        <v>289</v>
      </c>
      <c r="L399" s="56">
        <f t="shared" si="26"/>
        <v>14684.34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21804.67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21804.67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21804.67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21804.67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>
        <v>6369.86</v>
      </c>
      <c r="I425" s="18"/>
      <c r="J425" s="18"/>
      <c r="K425" s="18"/>
      <c r="L425" s="56">
        <f t="shared" si="29"/>
        <v>6369.86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6369.86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6369.86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6369.86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6369.86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>
        <v>43934.1</v>
      </c>
      <c r="I440" s="56">
        <f t="shared" si="33"/>
        <v>43934.1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>
        <v>895538.61</v>
      </c>
      <c r="I441" s="56">
        <f t="shared" si="33"/>
        <v>895538.61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0</v>
      </c>
      <c r="H445" s="13">
        <f>SUM(H438:H444)</f>
        <v>939472.71</v>
      </c>
      <c r="I445" s="13">
        <f>SUM(I438:I444)</f>
        <v>939472.71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>
        <v>939472.71</v>
      </c>
      <c r="I458" s="56">
        <f t="shared" si="34"/>
        <v>939472.71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0</v>
      </c>
      <c r="H459" s="83">
        <f>SUM(H453:H458)</f>
        <v>939472.71</v>
      </c>
      <c r="I459" s="83">
        <f>SUM(I453:I458)</f>
        <v>939472.71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0</v>
      </c>
      <c r="H460" s="42">
        <f>H451+H459</f>
        <v>939472.71</v>
      </c>
      <c r="I460" s="42">
        <f>I451+I459</f>
        <v>939472.71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1554916.35</v>
      </c>
      <c r="G464" s="18">
        <v>56106.400000000001</v>
      </c>
      <c r="H464" s="18">
        <v>0</v>
      </c>
      <c r="I464" s="18">
        <v>16475775.25</v>
      </c>
      <c r="J464" s="18">
        <v>924037.9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42460435.149999999</v>
      </c>
      <c r="G467" s="18">
        <v>940572.87</v>
      </c>
      <c r="H467" s="18">
        <v>2519378.73</v>
      </c>
      <c r="I467" s="18">
        <v>764782.05</v>
      </c>
      <c r="J467" s="18">
        <v>21804.67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42460435.149999999</v>
      </c>
      <c r="G469" s="53">
        <f>SUM(G467:G468)</f>
        <v>940572.87</v>
      </c>
      <c r="H469" s="53">
        <f>SUM(H467:H468)</f>
        <v>2519378.73</v>
      </c>
      <c r="I469" s="53">
        <f>SUM(I467:I468)</f>
        <v>764782.05</v>
      </c>
      <c r="J469" s="53">
        <f>SUM(J467:J468)</f>
        <v>21804.67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42889062.299999997</v>
      </c>
      <c r="G471" s="18">
        <v>986981.76</v>
      </c>
      <c r="H471" s="18">
        <v>2519378.73</v>
      </c>
      <c r="I471" s="18">
        <v>16196205.85</v>
      </c>
      <c r="J471" s="18">
        <v>6369.86</v>
      </c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42889062.299999997</v>
      </c>
      <c r="G473" s="53">
        <f>SUM(G471:G472)</f>
        <v>986981.76</v>
      </c>
      <c r="H473" s="53">
        <f>SUM(H471:H472)</f>
        <v>2519378.73</v>
      </c>
      <c r="I473" s="53">
        <f>SUM(I471:I472)</f>
        <v>16196205.85</v>
      </c>
      <c r="J473" s="53">
        <f>SUM(J471:J472)</f>
        <v>6369.86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1126289.200000003</v>
      </c>
      <c r="G475" s="53">
        <f>(G464+G469)- G473</f>
        <v>9697.5100000000093</v>
      </c>
      <c r="H475" s="53">
        <f>(H464+H469)- H473</f>
        <v>0</v>
      </c>
      <c r="I475" s="53">
        <f>(I464+I469)- I473</f>
        <v>1044351.4500000011</v>
      </c>
      <c r="J475" s="53">
        <f>(J464+J469)- J473</f>
        <v>939472.71000000008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>
        <v>10</v>
      </c>
      <c r="H489" s="154">
        <v>5</v>
      </c>
      <c r="I489" s="154">
        <v>30</v>
      </c>
      <c r="J489" s="154">
        <v>30</v>
      </c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 t="s">
        <v>910</v>
      </c>
      <c r="H490" s="155" t="s">
        <v>911</v>
      </c>
      <c r="I490" s="155" t="s">
        <v>912</v>
      </c>
      <c r="J490" s="155" t="s">
        <v>913</v>
      </c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914</v>
      </c>
      <c r="G491" s="155" t="s">
        <v>914</v>
      </c>
      <c r="H491" s="155" t="s">
        <v>915</v>
      </c>
      <c r="I491" s="155" t="s">
        <v>916</v>
      </c>
      <c r="J491" s="155" t="s">
        <v>919</v>
      </c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2717849</v>
      </c>
      <c r="G492" s="18">
        <v>2996343</v>
      </c>
      <c r="H492" s="18">
        <v>325000</v>
      </c>
      <c r="I492" s="18">
        <v>25000000</v>
      </c>
      <c r="J492" s="18">
        <v>325508500</v>
      </c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 t="s">
        <v>917</v>
      </c>
      <c r="G493" s="18" t="s">
        <v>918</v>
      </c>
      <c r="H493" s="18">
        <v>3.61</v>
      </c>
      <c r="I493" s="18">
        <v>4.3</v>
      </c>
      <c r="J493" s="18">
        <v>4.46</v>
      </c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270000</v>
      </c>
      <c r="G494" s="18">
        <v>590000</v>
      </c>
      <c r="H494" s="18">
        <v>195000</v>
      </c>
      <c r="I494" s="18">
        <v>23282520.73</v>
      </c>
      <c r="J494" s="18">
        <v>31657182.460000001</v>
      </c>
      <c r="K494" s="53">
        <f>SUM(F494:J494)</f>
        <v>55994703.189999998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135000</v>
      </c>
      <c r="G496" s="18">
        <v>295000</v>
      </c>
      <c r="H496" s="18">
        <v>65000</v>
      </c>
      <c r="I496" s="18">
        <v>1370172.09</v>
      </c>
      <c r="J496" s="18">
        <v>1981039.56</v>
      </c>
      <c r="K496" s="53">
        <f t="shared" si="35"/>
        <v>3846211.6500000004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135000</v>
      </c>
      <c r="G497" s="205">
        <v>295000</v>
      </c>
      <c r="H497" s="205">
        <v>130000</v>
      </c>
      <c r="I497" s="205">
        <v>21912348.640000001</v>
      </c>
      <c r="J497" s="205">
        <v>29676142.899999999</v>
      </c>
      <c r="K497" s="206">
        <f t="shared" si="35"/>
        <v>52148491.539999999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4185</v>
      </c>
      <c r="G498" s="18">
        <v>5900</v>
      </c>
      <c r="H498" s="18">
        <v>7039.5</v>
      </c>
      <c r="I498" s="18">
        <v>20011297.149999999</v>
      </c>
      <c r="J498" s="18">
        <v>29246100.850000001</v>
      </c>
      <c r="K498" s="53">
        <f t="shared" si="35"/>
        <v>49274522.5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139185</v>
      </c>
      <c r="G499" s="42">
        <f>SUM(G497:G498)</f>
        <v>300900</v>
      </c>
      <c r="H499" s="42">
        <f>SUM(H497:H498)</f>
        <v>137039.5</v>
      </c>
      <c r="I499" s="42">
        <f>SUM(I497:I498)</f>
        <v>41923645.789999999</v>
      </c>
      <c r="J499" s="42">
        <f>SUM(J497:J498)</f>
        <v>58922243.75</v>
      </c>
      <c r="K499" s="42">
        <f t="shared" si="35"/>
        <v>101423014.03999999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135000</v>
      </c>
      <c r="G500" s="205">
        <v>295000</v>
      </c>
      <c r="H500" s="205">
        <v>65000</v>
      </c>
      <c r="I500" s="205">
        <v>1317383.67</v>
      </c>
      <c r="J500" s="205">
        <v>1889007.59</v>
      </c>
      <c r="K500" s="206">
        <f t="shared" si="35"/>
        <v>3701391.26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4185</v>
      </c>
      <c r="G501" s="18">
        <v>5900</v>
      </c>
      <c r="H501" s="18">
        <v>4693</v>
      </c>
      <c r="I501" s="18">
        <v>182864.08</v>
      </c>
      <c r="J501" s="18">
        <v>215204.91</v>
      </c>
      <c r="K501" s="53">
        <f t="shared" si="35"/>
        <v>412846.99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139185</v>
      </c>
      <c r="G502" s="42">
        <f>SUM(G500:G501)</f>
        <v>300900</v>
      </c>
      <c r="H502" s="42">
        <f>SUM(H500:H501)</f>
        <v>69693</v>
      </c>
      <c r="I502" s="42">
        <f>SUM(I500:I501)</f>
        <v>1500247.75</v>
      </c>
      <c r="J502" s="42">
        <f>SUM(J500:J501)</f>
        <v>2104212.5</v>
      </c>
      <c r="K502" s="42">
        <f t="shared" si="35"/>
        <v>4114238.25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>
        <v>808236</v>
      </c>
      <c r="G506" s="144">
        <v>111118</v>
      </c>
      <c r="H506" s="144">
        <v>86025</v>
      </c>
      <c r="I506" s="144">
        <v>833329</v>
      </c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>
        <v>867743</v>
      </c>
      <c r="G510" s="24" t="s">
        <v>289</v>
      </c>
      <c r="H510" s="18">
        <v>867743</v>
      </c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>
        <v>37400</v>
      </c>
      <c r="G511" s="24" t="s">
        <v>289</v>
      </c>
      <c r="H511" s="18">
        <v>18700</v>
      </c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>
        <v>8376120.3799999999</v>
      </c>
      <c r="G512" s="24" t="s">
        <v>289</v>
      </c>
      <c r="H512" s="18">
        <v>7650979.5099999998</v>
      </c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>
        <v>1091686.93</v>
      </c>
      <c r="G513" s="24" t="s">
        <v>289</v>
      </c>
      <c r="H513" s="18">
        <v>1068920.8799999999</v>
      </c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>
        <v>50582866.229999997</v>
      </c>
      <c r="G514" s="24" t="s">
        <v>289</v>
      </c>
      <c r="H514" s="18">
        <v>67144864.049999997</v>
      </c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60955816.539999992</v>
      </c>
      <c r="G516" s="42">
        <f>SUM(G510:G515)</f>
        <v>0</v>
      </c>
      <c r="H516" s="42">
        <f>SUM(H510:H515)</f>
        <v>76751207.439999998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1372737.92</v>
      </c>
      <c r="G520" s="18">
        <v>690367.49</v>
      </c>
      <c r="H520" s="18">
        <v>299800.65000000002</v>
      </c>
      <c r="I520" s="18">
        <v>26287.79</v>
      </c>
      <c r="J520" s="18">
        <v>100171.3</v>
      </c>
      <c r="K520" s="18">
        <v>607.67999999999995</v>
      </c>
      <c r="L520" s="88">
        <f>SUM(F520:K520)</f>
        <v>2489972.83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466730.89</v>
      </c>
      <c r="G521" s="18">
        <v>234724.95</v>
      </c>
      <c r="H521" s="18">
        <v>101932.22</v>
      </c>
      <c r="I521" s="18">
        <v>8937.85</v>
      </c>
      <c r="J521" s="18">
        <v>34058.239999999998</v>
      </c>
      <c r="K521" s="18">
        <v>206.61</v>
      </c>
      <c r="L521" s="88">
        <f>SUM(F521:K521)</f>
        <v>846590.76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906007.03</v>
      </c>
      <c r="G522" s="18">
        <v>455642.54</v>
      </c>
      <c r="H522" s="18">
        <v>197868.43</v>
      </c>
      <c r="I522" s="18">
        <v>17349.939999999999</v>
      </c>
      <c r="J522" s="18">
        <v>66113.06</v>
      </c>
      <c r="K522" s="18">
        <v>401.07</v>
      </c>
      <c r="L522" s="88">
        <f>SUM(F522:K522)</f>
        <v>1643382.07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2745475.84</v>
      </c>
      <c r="G523" s="108">
        <f t="shared" ref="G523:L523" si="36">SUM(G520:G522)</f>
        <v>1380734.98</v>
      </c>
      <c r="H523" s="108">
        <f t="shared" si="36"/>
        <v>599601.30000000005</v>
      </c>
      <c r="I523" s="108">
        <f t="shared" si="36"/>
        <v>52575.58</v>
      </c>
      <c r="J523" s="108">
        <f t="shared" si="36"/>
        <v>200342.6</v>
      </c>
      <c r="K523" s="108">
        <f t="shared" si="36"/>
        <v>1215.3599999999999</v>
      </c>
      <c r="L523" s="89">
        <f t="shared" si="36"/>
        <v>4979945.66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643470.9</v>
      </c>
      <c r="G525" s="18">
        <v>323609.76</v>
      </c>
      <c r="H525" s="18">
        <v>140531.56</v>
      </c>
      <c r="I525" s="18">
        <v>12322.4</v>
      </c>
      <c r="J525" s="18">
        <v>46955.3</v>
      </c>
      <c r="K525" s="18">
        <v>284.85000000000002</v>
      </c>
      <c r="L525" s="88">
        <f>SUM(F525:K525)</f>
        <v>1167174.77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218780.11</v>
      </c>
      <c r="G526" s="18">
        <v>110027.31</v>
      </c>
      <c r="H526" s="18">
        <v>47780.73</v>
      </c>
      <c r="I526" s="18">
        <v>4189.62</v>
      </c>
      <c r="J526" s="18">
        <v>15964.8</v>
      </c>
      <c r="K526" s="18">
        <v>96.85</v>
      </c>
      <c r="L526" s="88">
        <f>SUM(F526:K526)</f>
        <v>396839.41999999993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424690.79</v>
      </c>
      <c r="G527" s="18">
        <v>213582.44</v>
      </c>
      <c r="H527" s="18">
        <v>92750.83</v>
      </c>
      <c r="I527" s="18">
        <v>8132.78</v>
      </c>
      <c r="J527" s="18">
        <v>30990.5</v>
      </c>
      <c r="K527" s="18">
        <v>188</v>
      </c>
      <c r="L527" s="88">
        <f>SUM(F527:K527)</f>
        <v>770335.34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1286941.8</v>
      </c>
      <c r="G528" s="89">
        <f t="shared" ref="G528:L528" si="37">SUM(G525:G527)</f>
        <v>647219.51</v>
      </c>
      <c r="H528" s="89">
        <f t="shared" si="37"/>
        <v>281063.12</v>
      </c>
      <c r="I528" s="89">
        <f t="shared" si="37"/>
        <v>24644.799999999999</v>
      </c>
      <c r="J528" s="89">
        <f t="shared" si="37"/>
        <v>93910.6</v>
      </c>
      <c r="K528" s="89">
        <f t="shared" si="37"/>
        <v>569.70000000000005</v>
      </c>
      <c r="L528" s="89">
        <f t="shared" si="37"/>
        <v>2334349.5299999998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128694.18</v>
      </c>
      <c r="G530" s="18">
        <v>64721.95</v>
      </c>
      <c r="H530" s="18">
        <v>28106.31</v>
      </c>
      <c r="I530" s="18">
        <v>2464.48</v>
      </c>
      <c r="J530" s="18">
        <v>9391.06</v>
      </c>
      <c r="K530" s="18">
        <v>56.97</v>
      </c>
      <c r="L530" s="88">
        <f>SUM(F530:K530)</f>
        <v>233434.95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43756.02</v>
      </c>
      <c r="G531" s="18">
        <v>22005.46</v>
      </c>
      <c r="H531" s="18">
        <v>9556.15</v>
      </c>
      <c r="I531" s="18">
        <v>837.92</v>
      </c>
      <c r="J531" s="18">
        <v>3192.96</v>
      </c>
      <c r="K531" s="18">
        <v>19.37</v>
      </c>
      <c r="L531" s="88">
        <f>SUM(F531:K531)</f>
        <v>79367.87999999999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84938.16</v>
      </c>
      <c r="G532" s="18">
        <v>42716.49</v>
      </c>
      <c r="H532" s="18">
        <v>18550.169999999998</v>
      </c>
      <c r="I532" s="18">
        <v>1626.56</v>
      </c>
      <c r="J532" s="18">
        <v>6198.1</v>
      </c>
      <c r="K532" s="18">
        <v>37.6</v>
      </c>
      <c r="L532" s="88">
        <f>SUM(F532:K532)</f>
        <v>154067.08000000002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257388.36</v>
      </c>
      <c r="G533" s="89">
        <f t="shared" ref="G533:L533" si="38">SUM(G530:G532)</f>
        <v>129443.9</v>
      </c>
      <c r="H533" s="89">
        <f t="shared" si="38"/>
        <v>56212.63</v>
      </c>
      <c r="I533" s="89">
        <f t="shared" si="38"/>
        <v>4928.96</v>
      </c>
      <c r="J533" s="89">
        <f t="shared" si="38"/>
        <v>18782.120000000003</v>
      </c>
      <c r="K533" s="89">
        <f t="shared" si="38"/>
        <v>113.94</v>
      </c>
      <c r="L533" s="89">
        <f t="shared" si="38"/>
        <v>466869.91000000003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4526.16</v>
      </c>
      <c r="I535" s="18"/>
      <c r="J535" s="18"/>
      <c r="K535" s="18"/>
      <c r="L535" s="88">
        <f>SUM(F535:K535)</f>
        <v>4526.16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1538.9</v>
      </c>
      <c r="I536" s="18"/>
      <c r="J536" s="18"/>
      <c r="K536" s="18"/>
      <c r="L536" s="88">
        <f>SUM(F536:K536)</f>
        <v>1538.9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2987.27</v>
      </c>
      <c r="I537" s="18"/>
      <c r="J537" s="18"/>
      <c r="K537" s="18"/>
      <c r="L537" s="88">
        <f>SUM(F537:K537)</f>
        <v>2987.27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9052.33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9052.33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95172.42</v>
      </c>
      <c r="G540" s="18">
        <v>14958.89</v>
      </c>
      <c r="H540" s="18">
        <v>115953.07</v>
      </c>
      <c r="I540" s="18">
        <v>615</v>
      </c>
      <c r="J540" s="18"/>
      <c r="K540" s="18"/>
      <c r="L540" s="88">
        <f>SUM(F540:K540)</f>
        <v>226699.38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>
        <v>32358.62</v>
      </c>
      <c r="G541" s="18">
        <v>5086.0200000000004</v>
      </c>
      <c r="H541" s="18">
        <v>39424.04</v>
      </c>
      <c r="I541" s="18">
        <v>209.1</v>
      </c>
      <c r="J541" s="18"/>
      <c r="K541" s="18"/>
      <c r="L541" s="88">
        <f>SUM(F541:K541)</f>
        <v>77077.78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v>62813.79</v>
      </c>
      <c r="G542" s="18">
        <v>9872.8700000000008</v>
      </c>
      <c r="H542" s="18">
        <v>76529.02</v>
      </c>
      <c r="I542" s="18">
        <v>405.89</v>
      </c>
      <c r="J542" s="18"/>
      <c r="K542" s="18"/>
      <c r="L542" s="88">
        <f>SUM(F542:K542)</f>
        <v>149621.57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190344.83</v>
      </c>
      <c r="G543" s="194">
        <f t="shared" ref="G543:L543" si="40">SUM(G540:G542)</f>
        <v>29917.78</v>
      </c>
      <c r="H543" s="194">
        <f t="shared" si="40"/>
        <v>231906.13</v>
      </c>
      <c r="I543" s="194">
        <f t="shared" si="40"/>
        <v>1229.99</v>
      </c>
      <c r="J543" s="194">
        <f t="shared" si="40"/>
        <v>0</v>
      </c>
      <c r="K543" s="194">
        <f t="shared" si="40"/>
        <v>0</v>
      </c>
      <c r="L543" s="194">
        <f t="shared" si="40"/>
        <v>453398.73000000004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4480150.83</v>
      </c>
      <c r="G544" s="89">
        <f t="shared" ref="G544:L544" si="41">G523+G528+G533+G538+G543</f>
        <v>2187316.17</v>
      </c>
      <c r="H544" s="89">
        <f t="shared" si="41"/>
        <v>1177835.51</v>
      </c>
      <c r="I544" s="89">
        <f t="shared" si="41"/>
        <v>83379.330000000016</v>
      </c>
      <c r="J544" s="89">
        <f t="shared" si="41"/>
        <v>313035.32</v>
      </c>
      <c r="K544" s="89">
        <f t="shared" si="41"/>
        <v>1899</v>
      </c>
      <c r="L544" s="89">
        <f t="shared" si="41"/>
        <v>8243616.1600000001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2489972.83</v>
      </c>
      <c r="G548" s="87">
        <f>L525</f>
        <v>1167174.77</v>
      </c>
      <c r="H548" s="87">
        <f>L530</f>
        <v>233434.95</v>
      </c>
      <c r="I548" s="87">
        <f>L535</f>
        <v>4526.16</v>
      </c>
      <c r="J548" s="87">
        <f>L540</f>
        <v>226699.38</v>
      </c>
      <c r="K548" s="87">
        <f>SUM(F548:J548)</f>
        <v>4121808.0900000003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846590.76</v>
      </c>
      <c r="G549" s="87">
        <f>L526</f>
        <v>396839.41999999993</v>
      </c>
      <c r="H549" s="87">
        <f>L531</f>
        <v>79367.87999999999</v>
      </c>
      <c r="I549" s="87">
        <f>L536</f>
        <v>1538.9</v>
      </c>
      <c r="J549" s="87">
        <f>L541</f>
        <v>77077.78</v>
      </c>
      <c r="K549" s="87">
        <f>SUM(F549:J549)</f>
        <v>1401414.7399999998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1643382.07</v>
      </c>
      <c r="G550" s="87">
        <f>L527</f>
        <v>770335.34</v>
      </c>
      <c r="H550" s="87">
        <f>L532</f>
        <v>154067.08000000002</v>
      </c>
      <c r="I550" s="87">
        <f>L537</f>
        <v>2987.27</v>
      </c>
      <c r="J550" s="87">
        <f>L542</f>
        <v>149621.57</v>
      </c>
      <c r="K550" s="87">
        <f>SUM(F550:J550)</f>
        <v>2720393.33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4979945.66</v>
      </c>
      <c r="G551" s="89">
        <f t="shared" si="42"/>
        <v>2334349.5299999998</v>
      </c>
      <c r="H551" s="89">
        <f t="shared" si="42"/>
        <v>466869.91000000003</v>
      </c>
      <c r="I551" s="89">
        <f t="shared" si="42"/>
        <v>9052.33</v>
      </c>
      <c r="J551" s="89">
        <f t="shared" si="42"/>
        <v>453398.73000000004</v>
      </c>
      <c r="K551" s="89">
        <f t="shared" si="42"/>
        <v>8243616.1600000001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>
        <v>31244.959999999999</v>
      </c>
      <c r="G556" s="18">
        <v>5887.75</v>
      </c>
      <c r="H556" s="18">
        <v>1912.33</v>
      </c>
      <c r="I556" s="18">
        <v>915.05</v>
      </c>
      <c r="J556" s="18">
        <v>432.29</v>
      </c>
      <c r="K556" s="18">
        <v>95</v>
      </c>
      <c r="L556" s="88">
        <f>SUM(F556:K556)</f>
        <v>40487.380000000005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31244.959999999999</v>
      </c>
      <c r="G559" s="108">
        <f t="shared" si="43"/>
        <v>5887.75</v>
      </c>
      <c r="H559" s="108">
        <f t="shared" si="43"/>
        <v>1912.33</v>
      </c>
      <c r="I559" s="108">
        <f t="shared" si="43"/>
        <v>915.05</v>
      </c>
      <c r="J559" s="108">
        <f t="shared" si="43"/>
        <v>432.29</v>
      </c>
      <c r="K559" s="108">
        <f t="shared" si="43"/>
        <v>95</v>
      </c>
      <c r="L559" s="89">
        <f t="shared" si="43"/>
        <v>40487.380000000005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31244.959999999999</v>
      </c>
      <c r="G570" s="89">
        <f t="shared" ref="G570:L570" si="46">G559+G564+G569</f>
        <v>5887.75</v>
      </c>
      <c r="H570" s="89">
        <f t="shared" si="46"/>
        <v>1912.33</v>
      </c>
      <c r="I570" s="89">
        <f t="shared" si="46"/>
        <v>915.05</v>
      </c>
      <c r="J570" s="89">
        <f t="shared" si="46"/>
        <v>432.29</v>
      </c>
      <c r="K570" s="89">
        <f t="shared" si="46"/>
        <v>95</v>
      </c>
      <c r="L570" s="89">
        <f t="shared" si="46"/>
        <v>40487.380000000005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11822.46</v>
      </c>
      <c r="G578" s="18"/>
      <c r="H578" s="18">
        <v>27323.93</v>
      </c>
      <c r="I578" s="87">
        <f t="shared" si="47"/>
        <v>39146.39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335101.84999999998</v>
      </c>
      <c r="G581" s="18">
        <v>5826</v>
      </c>
      <c r="H581" s="18">
        <v>185435.11</v>
      </c>
      <c r="I581" s="87">
        <f t="shared" si="47"/>
        <v>526362.96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>
        <v>136048.79999999999</v>
      </c>
      <c r="I582" s="87">
        <f t="shared" si="47"/>
        <v>136048.79999999999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1215638.18</v>
      </c>
      <c r="I590" s="18">
        <v>197418.37</v>
      </c>
      <c r="J590" s="18">
        <v>304823.19</v>
      </c>
      <c r="K590" s="104">
        <f t="shared" ref="K590:K596" si="48">SUM(H590:J590)</f>
        <v>1717879.7399999998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226699.37</v>
      </c>
      <c r="I591" s="18">
        <v>77077.789999999994</v>
      </c>
      <c r="J591" s="18">
        <v>149621.57999999999</v>
      </c>
      <c r="K591" s="104">
        <f t="shared" si="48"/>
        <v>453398.74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>
        <v>839.84</v>
      </c>
      <c r="I592" s="18">
        <v>335.94</v>
      </c>
      <c r="J592" s="18">
        <v>503.9</v>
      </c>
      <c r="K592" s="104">
        <f t="shared" si="48"/>
        <v>1679.6799999999998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31244.97</v>
      </c>
      <c r="I593" s="18">
        <v>12497.99</v>
      </c>
      <c r="J593" s="18">
        <v>18746.98</v>
      </c>
      <c r="K593" s="104">
        <f t="shared" si="48"/>
        <v>62489.94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17927.310000000001</v>
      </c>
      <c r="I594" s="18">
        <v>7170.91</v>
      </c>
      <c r="J594" s="18">
        <v>10756.39</v>
      </c>
      <c r="K594" s="104">
        <f t="shared" si="48"/>
        <v>35854.61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1492349.67</v>
      </c>
      <c r="I597" s="108">
        <f>SUM(I590:I596)</f>
        <v>294500.99999999994</v>
      </c>
      <c r="J597" s="108">
        <f>SUM(J590:J596)</f>
        <v>484452.04000000004</v>
      </c>
      <c r="K597" s="108">
        <f>SUM(K590:K596)</f>
        <v>2271302.7099999995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>
        <v>2109.1799999999998</v>
      </c>
      <c r="I602" s="18"/>
      <c r="J602" s="18"/>
      <c r="K602" s="104">
        <f>SUM(H602:J602)</f>
        <v>2109.1799999999998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375680.86</v>
      </c>
      <c r="I603" s="18">
        <v>323095.58</v>
      </c>
      <c r="J603" s="18">
        <v>607863.34</v>
      </c>
      <c r="K603" s="104">
        <f>SUM(H603:J603)</f>
        <v>1306639.7799999998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377790.04</v>
      </c>
      <c r="I604" s="108">
        <f>SUM(I601:I603)</f>
        <v>323095.58</v>
      </c>
      <c r="J604" s="108">
        <f>SUM(J601:J603)</f>
        <v>607863.34</v>
      </c>
      <c r="K604" s="108">
        <f>SUM(K601:K603)</f>
        <v>1308748.9599999997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38806.720000000001</v>
      </c>
      <c r="G610" s="18">
        <v>6787.64</v>
      </c>
      <c r="H610" s="18">
        <v>13067</v>
      </c>
      <c r="I610" s="18"/>
      <c r="J610" s="18"/>
      <c r="K610" s="18"/>
      <c r="L610" s="88">
        <f>SUM(F610:K610)</f>
        <v>58661.36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1620</v>
      </c>
      <c r="G611" s="18">
        <v>244.54</v>
      </c>
      <c r="H611" s="18"/>
      <c r="I611" s="18"/>
      <c r="J611" s="18"/>
      <c r="K611" s="18"/>
      <c r="L611" s="88">
        <f>SUM(F611:K611)</f>
        <v>1864.54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30690.83</v>
      </c>
      <c r="G612" s="18">
        <v>5864.34</v>
      </c>
      <c r="H612" s="18">
        <v>1470</v>
      </c>
      <c r="I612" s="18">
        <v>446.48</v>
      </c>
      <c r="J612" s="18"/>
      <c r="K612" s="18"/>
      <c r="L612" s="88">
        <f>SUM(F612:K612)</f>
        <v>38471.65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71117.55</v>
      </c>
      <c r="G613" s="108">
        <f t="shared" si="49"/>
        <v>12896.52</v>
      </c>
      <c r="H613" s="108">
        <f t="shared" si="49"/>
        <v>14537</v>
      </c>
      <c r="I613" s="108">
        <f t="shared" si="49"/>
        <v>446.48</v>
      </c>
      <c r="J613" s="108">
        <f t="shared" si="49"/>
        <v>0</v>
      </c>
      <c r="K613" s="108">
        <f t="shared" si="49"/>
        <v>0</v>
      </c>
      <c r="L613" s="89">
        <f t="shared" si="49"/>
        <v>98997.55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3468164.48</v>
      </c>
      <c r="H616" s="109">
        <f>SUM(F51)</f>
        <v>3468164.4800000004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80797.009999999995</v>
      </c>
      <c r="H617" s="109">
        <f>SUM(G51)</f>
        <v>80797.009999999995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379367.65</v>
      </c>
      <c r="H618" s="109">
        <f>SUM(H51)</f>
        <v>379367.65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2514706.61</v>
      </c>
      <c r="H619" s="109">
        <f>SUM(I51)</f>
        <v>2514706.61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939472.71</v>
      </c>
      <c r="H620" s="109">
        <f>SUM(J51)</f>
        <v>939472.71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1126289.2000000002</v>
      </c>
      <c r="H621" s="109">
        <f>F475</f>
        <v>1126289.200000003</v>
      </c>
      <c r="I621" s="121" t="s">
        <v>101</v>
      </c>
      <c r="J621" s="109">
        <f t="shared" ref="J621:J654" si="50">G621-H621</f>
        <v>-2.7939677238464355E-9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9697.51</v>
      </c>
      <c r="H622" s="109">
        <f>G475</f>
        <v>9697.5100000000093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1044351.45</v>
      </c>
      <c r="H624" s="109">
        <f>I475</f>
        <v>1044351.4500000011</v>
      </c>
      <c r="I624" s="121" t="s">
        <v>104</v>
      </c>
      <c r="J624" s="109">
        <f t="shared" si="50"/>
        <v>-1.1641532182693481E-9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939472.71</v>
      </c>
      <c r="H625" s="109">
        <f>J475</f>
        <v>939472.71000000008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42460435.149999999</v>
      </c>
      <c r="H626" s="104">
        <f>SUM(F467)</f>
        <v>42460435.149999999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940572.87</v>
      </c>
      <c r="H627" s="104">
        <f>SUM(G467)</f>
        <v>940572.87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2519378.7300000004</v>
      </c>
      <c r="H628" s="104">
        <f>SUM(H467)</f>
        <v>2519378.73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764782.05</v>
      </c>
      <c r="H629" s="104">
        <f>SUM(I467)</f>
        <v>764782.05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21804.67</v>
      </c>
      <c r="H630" s="104">
        <f>SUM(J467)</f>
        <v>21804.67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42889062.29999999</v>
      </c>
      <c r="H631" s="104">
        <f>SUM(F471)</f>
        <v>42889062.299999997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2519378.73</v>
      </c>
      <c r="H632" s="104">
        <f>SUM(H471)</f>
        <v>2519378.73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501200.46</v>
      </c>
      <c r="H633" s="104">
        <f>I368</f>
        <v>501200.45999999996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986981.76</v>
      </c>
      <c r="H634" s="104">
        <f>SUM(G471)</f>
        <v>986981.76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16196205.850000001</v>
      </c>
      <c r="H635" s="104">
        <f>SUM(I471)</f>
        <v>16196205.85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21804.67</v>
      </c>
      <c r="H636" s="164">
        <f>SUM(J467)</f>
        <v>21804.67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6369.86</v>
      </c>
      <c r="H637" s="164">
        <f>SUM(J471)</f>
        <v>6369.86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939472.71</v>
      </c>
      <c r="H640" s="104">
        <f>SUM(H460)</f>
        <v>939472.71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939472.71</v>
      </c>
      <c r="H641" s="104">
        <f>SUM(I460)</f>
        <v>939472.71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21804.67</v>
      </c>
      <c r="H643" s="104">
        <f>H407</f>
        <v>21804.67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21804.67</v>
      </c>
      <c r="H645" s="104">
        <f>L407</f>
        <v>21804.67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2271302.7099999995</v>
      </c>
      <c r="H646" s="104">
        <f>L207+L225+L243</f>
        <v>2271302.71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1308748.9599999997</v>
      </c>
      <c r="H647" s="104">
        <f>(J256+J337)-(J254+J335)</f>
        <v>1308748.96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1492349.67</v>
      </c>
      <c r="H648" s="104">
        <f>H597</f>
        <v>1492349.67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294501</v>
      </c>
      <c r="H649" s="104">
        <f>I597</f>
        <v>294500.99999999994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484452.04000000004</v>
      </c>
      <c r="H650" s="104">
        <f>J597</f>
        <v>484452.04000000004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20460172.849999998</v>
      </c>
      <c r="G659" s="19">
        <f>(L228+L308+L358)</f>
        <v>7251986.790000001</v>
      </c>
      <c r="H659" s="19">
        <f>(L246+L327+L359)</f>
        <v>14138655.379999997</v>
      </c>
      <c r="I659" s="19">
        <f>SUM(F659:H659)</f>
        <v>41850815.019999996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215045.76722276004</v>
      </c>
      <c r="G660" s="19">
        <f>(L358/IF(SUM(L357:L359)=0,1,SUM(L357:L359))*(SUM(G96:G109)))</f>
        <v>63857.870961412191</v>
      </c>
      <c r="H660" s="19">
        <f>(L359/IF(SUM(L357:L359)=0,1,SUM(L357:L359))*(SUM(G96:G109)))</f>
        <v>189368.11181582778</v>
      </c>
      <c r="I660" s="19">
        <f>SUM(F660:H660)</f>
        <v>468271.75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1417942.2199999997</v>
      </c>
      <c r="G661" s="19">
        <f>(L225+L305)-(J225+J305)</f>
        <v>264212.70999999996</v>
      </c>
      <c r="H661" s="19">
        <f>(L243+L324)-(J243+J324)</f>
        <v>435079.78</v>
      </c>
      <c r="I661" s="19">
        <f>SUM(F661:H661)</f>
        <v>2117234.71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783375.71</v>
      </c>
      <c r="G662" s="200">
        <f>SUM(G574:G586)+SUM(I601:I603)+L611</f>
        <v>330786.12</v>
      </c>
      <c r="H662" s="200">
        <f>SUM(H574:H586)+SUM(J601:J603)+L612</f>
        <v>995142.83</v>
      </c>
      <c r="I662" s="19">
        <f>SUM(F662:H662)</f>
        <v>2109304.66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18043809.15277724</v>
      </c>
      <c r="G663" s="19">
        <f>G659-SUM(G660:G662)</f>
        <v>6593130.089038589</v>
      </c>
      <c r="H663" s="19">
        <f>H659-SUM(H660:H662)</f>
        <v>12519064.658184169</v>
      </c>
      <c r="I663" s="19">
        <f>I659-SUM(I660:I662)</f>
        <v>37156003.899999999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1112.4000000000001</v>
      </c>
      <c r="G664" s="249">
        <v>391.93</v>
      </c>
      <c r="H664" s="249">
        <v>788.88</v>
      </c>
      <c r="I664" s="19">
        <f>SUM(F664:H664)</f>
        <v>2293.21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16220.61</v>
      </c>
      <c r="G666" s="19">
        <f>ROUND(G663/G664,2)</f>
        <v>16822.21</v>
      </c>
      <c r="H666" s="19">
        <f>ROUND(H663/H664,2)</f>
        <v>15869.42</v>
      </c>
      <c r="I666" s="19">
        <f>ROUND(I663/I664,2)</f>
        <v>16202.62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25.67</v>
      </c>
      <c r="I669" s="19">
        <f>SUM(F669:H669)</f>
        <v>25.67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16220.61</v>
      </c>
      <c r="G671" s="19">
        <f>ROUND((G663+G668)/(G664+G669),2)</f>
        <v>16822.21</v>
      </c>
      <c r="H671" s="19">
        <f>ROUND((H663+H668)/(H664+H669),2)</f>
        <v>15369.3</v>
      </c>
      <c r="I671" s="19">
        <f>ROUND((I663+I668)/(I664+I669),2)</f>
        <v>16023.25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6" workbookViewId="0">
      <selection activeCell="B29" sqref="B2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Governor Wentworth Regional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11097414.649999999</v>
      </c>
      <c r="C9" s="230">
        <f>'DOE25'!G196+'DOE25'!G214+'DOE25'!G232+'DOE25'!G275+'DOE25'!G294+'DOE25'!G313</f>
        <v>5364837.01</v>
      </c>
    </row>
    <row r="10" spans="1:3" x14ac:dyDescent="0.2">
      <c r="A10" t="s">
        <v>779</v>
      </c>
      <c r="B10" s="241">
        <v>9982124.4800000004</v>
      </c>
      <c r="C10" s="241">
        <v>4825670.8899999997</v>
      </c>
    </row>
    <row r="11" spans="1:3" x14ac:dyDescent="0.2">
      <c r="A11" t="s">
        <v>780</v>
      </c>
      <c r="B11" s="241">
        <v>597040.91</v>
      </c>
      <c r="C11" s="241">
        <v>288628.23</v>
      </c>
    </row>
    <row r="12" spans="1:3" x14ac:dyDescent="0.2">
      <c r="A12" t="s">
        <v>781</v>
      </c>
      <c r="B12" s="241">
        <v>518249.26</v>
      </c>
      <c r="C12" s="241">
        <v>250537.89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11097414.65</v>
      </c>
      <c r="C13" s="232">
        <f>SUM(C10:C12)</f>
        <v>5364837.0099999988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4289806.01</v>
      </c>
      <c r="C18" s="230">
        <f>'DOE25'!G197+'DOE25'!G215+'DOE25'!G233+'DOE25'!G276+'DOE25'!G295+'DOE25'!G314</f>
        <v>2157398.42</v>
      </c>
    </row>
    <row r="19" spans="1:3" x14ac:dyDescent="0.2">
      <c r="A19" t="s">
        <v>779</v>
      </c>
      <c r="B19" s="241">
        <v>2775504.49</v>
      </c>
      <c r="C19" s="241">
        <v>1395836.78</v>
      </c>
    </row>
    <row r="20" spans="1:3" x14ac:dyDescent="0.2">
      <c r="A20" t="s">
        <v>780</v>
      </c>
      <c r="B20" s="241">
        <v>1300669.18</v>
      </c>
      <c r="C20" s="241">
        <v>654123.19999999995</v>
      </c>
    </row>
    <row r="21" spans="1:3" x14ac:dyDescent="0.2">
      <c r="A21" t="s">
        <v>781</v>
      </c>
      <c r="B21" s="241">
        <v>213632.34</v>
      </c>
      <c r="C21" s="241">
        <v>107438.44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4289806.01</v>
      </c>
      <c r="C22" s="232">
        <f>SUM(C19:C21)</f>
        <v>2157398.42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708174.89</v>
      </c>
      <c r="C27" s="235">
        <f>'DOE25'!G198+'DOE25'!G216+'DOE25'!G234+'DOE25'!G277+'DOE25'!G296+'DOE25'!G315</f>
        <v>364115.17000000004</v>
      </c>
    </row>
    <row r="28" spans="1:3" x14ac:dyDescent="0.2">
      <c r="A28" t="s">
        <v>779</v>
      </c>
      <c r="B28" s="241">
        <v>467678.7</v>
      </c>
      <c r="C28" s="241">
        <v>240461.66</v>
      </c>
    </row>
    <row r="29" spans="1:3" x14ac:dyDescent="0.2">
      <c r="A29" t="s">
        <v>780</v>
      </c>
      <c r="B29" s="241">
        <v>108988.11</v>
      </c>
      <c r="C29" s="241">
        <v>56037.32</v>
      </c>
    </row>
    <row r="30" spans="1:3" x14ac:dyDescent="0.2">
      <c r="A30" t="s">
        <v>781</v>
      </c>
      <c r="B30" s="241">
        <v>131508.07999999999</v>
      </c>
      <c r="C30" s="241">
        <v>67616.19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708174.89</v>
      </c>
      <c r="C31" s="232">
        <f>SUM(C28:C30)</f>
        <v>364115.17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349842.26999999996</v>
      </c>
      <c r="C36" s="236">
        <f>'DOE25'!G199+'DOE25'!G217+'DOE25'!G235+'DOE25'!G278+'DOE25'!G297+'DOE25'!G316</f>
        <v>53676.27</v>
      </c>
    </row>
    <row r="37" spans="1:3" x14ac:dyDescent="0.2">
      <c r="A37" t="s">
        <v>779</v>
      </c>
      <c r="B37" s="241">
        <v>162466.75</v>
      </c>
      <c r="C37" s="241">
        <v>24927.26</v>
      </c>
    </row>
    <row r="38" spans="1:3" x14ac:dyDescent="0.2">
      <c r="A38" t="s">
        <v>780</v>
      </c>
      <c r="B38" s="241">
        <v>65315.55</v>
      </c>
      <c r="C38" s="241">
        <v>10021.36</v>
      </c>
    </row>
    <row r="39" spans="1:3" x14ac:dyDescent="0.2">
      <c r="A39" t="s">
        <v>781</v>
      </c>
      <c r="B39" s="241">
        <v>122059.97</v>
      </c>
      <c r="C39" s="241">
        <v>18727.650000000001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349842.27</v>
      </c>
      <c r="C40" s="232">
        <f>SUM(C37:C39)</f>
        <v>53676.27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Governor Wentworth Regional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25662464.200000003</v>
      </c>
      <c r="D5" s="20">
        <f>SUM('DOE25'!L196:L199)+SUM('DOE25'!L214:L217)+SUM('DOE25'!L232:L235)-F5-G5</f>
        <v>24996084.560000002</v>
      </c>
      <c r="E5" s="244"/>
      <c r="F5" s="256">
        <f>SUM('DOE25'!J196:J199)+SUM('DOE25'!J214:J217)+SUM('DOE25'!J232:J235)</f>
        <v>654190.04</v>
      </c>
      <c r="G5" s="53">
        <f>SUM('DOE25'!K196:K199)+SUM('DOE25'!K214:K217)+SUM('DOE25'!K232:K235)</f>
        <v>12189.6</v>
      </c>
      <c r="H5" s="260"/>
    </row>
    <row r="6" spans="1:9" x14ac:dyDescent="0.2">
      <c r="A6" s="32">
        <v>2100</v>
      </c>
      <c r="B6" t="s">
        <v>801</v>
      </c>
      <c r="C6" s="246">
        <f t="shared" si="0"/>
        <v>1878577.8699999999</v>
      </c>
      <c r="D6" s="20">
        <f>'DOE25'!L201+'DOE25'!L219+'DOE25'!L237-F6-G6</f>
        <v>1865383.8399999999</v>
      </c>
      <c r="E6" s="244"/>
      <c r="F6" s="256">
        <f>'DOE25'!J201+'DOE25'!J219+'DOE25'!J237</f>
        <v>12555.029999999999</v>
      </c>
      <c r="G6" s="53">
        <f>'DOE25'!K201+'DOE25'!K219+'DOE25'!K237</f>
        <v>639</v>
      </c>
      <c r="H6" s="260"/>
    </row>
    <row r="7" spans="1:9" x14ac:dyDescent="0.2">
      <c r="A7" s="32">
        <v>2200</v>
      </c>
      <c r="B7" t="s">
        <v>834</v>
      </c>
      <c r="C7" s="246">
        <f t="shared" si="0"/>
        <v>1366608.74</v>
      </c>
      <c r="D7" s="20">
        <f>'DOE25'!L202+'DOE25'!L220+'DOE25'!L238-F7-G7</f>
        <v>1309905.78</v>
      </c>
      <c r="E7" s="244"/>
      <c r="F7" s="256">
        <f>'DOE25'!J202+'DOE25'!J220+'DOE25'!J238</f>
        <v>54509.06</v>
      </c>
      <c r="G7" s="53">
        <f>'DOE25'!K202+'DOE25'!K220+'DOE25'!K238</f>
        <v>2193.9</v>
      </c>
      <c r="H7" s="260"/>
    </row>
    <row r="8" spans="1:9" x14ac:dyDescent="0.2">
      <c r="A8" s="32">
        <v>2300</v>
      </c>
      <c r="B8" t="s">
        <v>802</v>
      </c>
      <c r="C8" s="246">
        <f t="shared" si="0"/>
        <v>51521.27999999997</v>
      </c>
      <c r="D8" s="244"/>
      <c r="E8" s="20">
        <f>'DOE25'!L203+'DOE25'!L221+'DOE25'!L239-F8-G8-D9-D11</f>
        <v>39818.339999999967</v>
      </c>
      <c r="F8" s="256">
        <f>'DOE25'!J203+'DOE25'!J221+'DOE25'!J239</f>
        <v>2526.86</v>
      </c>
      <c r="G8" s="53">
        <f>'DOE25'!K203+'DOE25'!K221+'DOE25'!K239</f>
        <v>9176.08</v>
      </c>
      <c r="H8" s="260"/>
    </row>
    <row r="9" spans="1:9" x14ac:dyDescent="0.2">
      <c r="A9" s="32">
        <v>2310</v>
      </c>
      <c r="B9" t="s">
        <v>818</v>
      </c>
      <c r="C9" s="246">
        <f t="shared" si="0"/>
        <v>79372.600000000006</v>
      </c>
      <c r="D9" s="245">
        <v>79372.600000000006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19091.12</v>
      </c>
      <c r="D10" s="244"/>
      <c r="E10" s="245">
        <v>19091.12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487792.73</v>
      </c>
      <c r="D11" s="245">
        <v>487792.73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2434484.02</v>
      </c>
      <c r="D12" s="20">
        <f>'DOE25'!L204+'DOE25'!L222+'DOE25'!L240-F12-G12</f>
        <v>2389067.73</v>
      </c>
      <c r="E12" s="244"/>
      <c r="F12" s="256">
        <f>'DOE25'!J204+'DOE25'!J222+'DOE25'!J240</f>
        <v>37349.379999999997</v>
      </c>
      <c r="G12" s="53">
        <f>'DOE25'!K204+'DOE25'!K222+'DOE25'!K240</f>
        <v>8066.91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425775.47</v>
      </c>
      <c r="D13" s="244"/>
      <c r="E13" s="20">
        <f>'DOE25'!L205+'DOE25'!L223+'DOE25'!L241-F13-G13</f>
        <v>401198.39</v>
      </c>
      <c r="F13" s="256">
        <f>'DOE25'!J205+'DOE25'!J223+'DOE25'!J241</f>
        <v>1810.86</v>
      </c>
      <c r="G13" s="53">
        <f>'DOE25'!K205+'DOE25'!K223+'DOE25'!K241</f>
        <v>22766.22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3931693.0900000003</v>
      </c>
      <c r="D14" s="20">
        <f>'DOE25'!L206+'DOE25'!L224+'DOE25'!L242-F14-G14</f>
        <v>3897418.1300000004</v>
      </c>
      <c r="E14" s="244"/>
      <c r="F14" s="256">
        <f>'DOE25'!J206+'DOE25'!J224+'DOE25'!J242</f>
        <v>34274.959999999999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2271302.71</v>
      </c>
      <c r="D15" s="20">
        <f>'DOE25'!L207+'DOE25'!L225+'DOE25'!L243-F15-G15</f>
        <v>2106728.5099999998</v>
      </c>
      <c r="E15" s="244"/>
      <c r="F15" s="256">
        <f>'DOE25'!J207+'DOE25'!J225+'DOE25'!J243</f>
        <v>164574.20000000001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11910.18</v>
      </c>
      <c r="D17" s="20">
        <f>'DOE25'!L250-F17-G17</f>
        <v>11910.18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5655.19</v>
      </c>
      <c r="D19" s="20">
        <f>'DOE25'!L252-F19-G19</f>
        <v>5655.19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149922.35999999999</v>
      </c>
      <c r="D22" s="244"/>
      <c r="E22" s="244"/>
      <c r="F22" s="256">
        <f>'DOE25'!L254+'DOE25'!L335</f>
        <v>149922.35999999999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4131981.86</v>
      </c>
      <c r="D25" s="244"/>
      <c r="E25" s="244"/>
      <c r="F25" s="259"/>
      <c r="G25" s="257"/>
      <c r="H25" s="258">
        <f>'DOE25'!L259+'DOE25'!L260+'DOE25'!L340+'DOE25'!L341</f>
        <v>4131981.86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529699.72</v>
      </c>
      <c r="D29" s="20">
        <f>'DOE25'!L357+'DOE25'!L358+'DOE25'!L359-'DOE25'!I366-F29-G29</f>
        <v>521357.37</v>
      </c>
      <c r="E29" s="244"/>
      <c r="F29" s="256">
        <f>'DOE25'!J357+'DOE25'!J358+'DOE25'!J359</f>
        <v>8342.35</v>
      </c>
      <c r="G29" s="53">
        <f>'DOE25'!K357+'DOE25'!K358+'DOE25'!K359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2519378.73</v>
      </c>
      <c r="D31" s="20">
        <f>'DOE25'!L289+'DOE25'!L308+'DOE25'!L327+'DOE25'!L332+'DOE25'!L333+'DOE25'!L334-F31-G31</f>
        <v>2167511.5300000003</v>
      </c>
      <c r="E31" s="244"/>
      <c r="F31" s="256">
        <f>'DOE25'!J289+'DOE25'!J308+'DOE25'!J327+'DOE25'!J332+'DOE25'!J333+'DOE25'!J334</f>
        <v>346958.56999999995</v>
      </c>
      <c r="G31" s="53">
        <f>'DOE25'!K289+'DOE25'!K308+'DOE25'!K327+'DOE25'!K332+'DOE25'!K333+'DOE25'!K334</f>
        <v>4908.63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39838188.149999999</v>
      </c>
      <c r="E33" s="247">
        <f>SUM(E5:E31)</f>
        <v>460107.85</v>
      </c>
      <c r="F33" s="247">
        <f>SUM(F5:F31)</f>
        <v>1467013.67</v>
      </c>
      <c r="G33" s="247">
        <f>SUM(G5:G31)</f>
        <v>59940.340000000004</v>
      </c>
      <c r="H33" s="247">
        <f>SUM(H5:H31)</f>
        <v>4131981.86</v>
      </c>
    </row>
    <row r="35" spans="2:8" ht="12" thickBot="1" x14ac:dyDescent="0.25">
      <c r="B35" s="254" t="s">
        <v>847</v>
      </c>
      <c r="D35" s="255">
        <f>E33</f>
        <v>460107.85</v>
      </c>
      <c r="E35" s="250"/>
    </row>
    <row r="36" spans="2:8" ht="12" thickTop="1" x14ac:dyDescent="0.2">
      <c r="B36" t="s">
        <v>815</v>
      </c>
      <c r="D36" s="20">
        <f>D33</f>
        <v>39838188.149999999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18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Governor Wentworth Regional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2254082.35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2514706.61</v>
      </c>
      <c r="G11" s="95">
        <f>'DOE25'!J12</f>
        <v>43934.1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1205884.42</v>
      </c>
      <c r="D12" s="95">
        <f>'DOE25'!G13</f>
        <v>80797.009999999995</v>
      </c>
      <c r="E12" s="95">
        <f>'DOE25'!H13</f>
        <v>379367.65</v>
      </c>
      <c r="F12" s="95">
        <f>'DOE25'!I13</f>
        <v>0</v>
      </c>
      <c r="G12" s="95">
        <f>'DOE25'!J13</f>
        <v>895538.61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8187.71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3468164.48</v>
      </c>
      <c r="D18" s="41">
        <f>SUM(D8:D17)</f>
        <v>80797.009999999995</v>
      </c>
      <c r="E18" s="41">
        <f>SUM(E8:E17)</f>
        <v>379367.65</v>
      </c>
      <c r="F18" s="41">
        <f>SUM(F8:F17)</f>
        <v>2514706.61</v>
      </c>
      <c r="G18" s="41">
        <f>SUM(G8:G17)</f>
        <v>939472.71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2189388.89</v>
      </c>
      <c r="D21" s="95">
        <f>'DOE25'!G22</f>
        <v>50777.05</v>
      </c>
      <c r="E21" s="95">
        <f>'DOE25'!H22</f>
        <v>325909.63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1470355.16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146742.5</v>
      </c>
      <c r="D27" s="95">
        <f>'DOE25'!G28</f>
        <v>7822.25</v>
      </c>
      <c r="E27" s="95">
        <f>'DOE25'!H28</f>
        <v>5775.03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5743.89</v>
      </c>
      <c r="D29" s="95">
        <f>'DOE25'!G30</f>
        <v>12500.2</v>
      </c>
      <c r="E29" s="95">
        <f>'DOE25'!H30</f>
        <v>47682.99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2341875.2800000003</v>
      </c>
      <c r="D31" s="41">
        <f>SUM(D21:D30)</f>
        <v>71099.5</v>
      </c>
      <c r="E31" s="41">
        <f>SUM(E21:E30)</f>
        <v>379367.65</v>
      </c>
      <c r="F31" s="41">
        <f>SUM(F21:F30)</f>
        <v>1470355.16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9697.51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1044351.45</v>
      </c>
      <c r="G46" s="95">
        <f>'DOE25'!J47</f>
        <v>939472.71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33453.61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1092835.5900000001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1126289.2000000002</v>
      </c>
      <c r="D49" s="41">
        <f>SUM(D34:D48)</f>
        <v>9697.51</v>
      </c>
      <c r="E49" s="41">
        <f>SUM(E34:E48)</f>
        <v>0</v>
      </c>
      <c r="F49" s="41">
        <f>SUM(F34:F48)</f>
        <v>1044351.45</v>
      </c>
      <c r="G49" s="41">
        <f>SUM(G34:G48)</f>
        <v>939472.71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3468164.4800000004</v>
      </c>
      <c r="D50" s="41">
        <f>D49+D31</f>
        <v>80797.009999999995</v>
      </c>
      <c r="E50" s="41">
        <f>E49+E31</f>
        <v>379367.65</v>
      </c>
      <c r="F50" s="41">
        <f>F49+F31</f>
        <v>2514706.61</v>
      </c>
      <c r="G50" s="41">
        <f>G49+G31</f>
        <v>939472.71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24417065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515141.50999999995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2410.2800000000002</v>
      </c>
      <c r="D58" s="95">
        <f>'DOE25'!G95</f>
        <v>0</v>
      </c>
      <c r="E58" s="95">
        <f>'DOE25'!H95</f>
        <v>0</v>
      </c>
      <c r="F58" s="95">
        <f>'DOE25'!I95</f>
        <v>3636.8</v>
      </c>
      <c r="G58" s="95">
        <f>'DOE25'!J95</f>
        <v>21804.67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468271.75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115599.95000000001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633151.74</v>
      </c>
      <c r="D61" s="130">
        <f>SUM(D56:D60)</f>
        <v>468271.75</v>
      </c>
      <c r="E61" s="130">
        <f>SUM(E56:E60)</f>
        <v>0</v>
      </c>
      <c r="F61" s="130">
        <f>SUM(F56:F60)</f>
        <v>3636.8</v>
      </c>
      <c r="G61" s="130">
        <f>SUM(G56:G60)</f>
        <v>21804.67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25050216.739999998</v>
      </c>
      <c r="D62" s="22">
        <f>D55+D61</f>
        <v>468271.75</v>
      </c>
      <c r="E62" s="22">
        <f>E55+E61</f>
        <v>0</v>
      </c>
      <c r="F62" s="22">
        <f>F55+F61</f>
        <v>3636.8</v>
      </c>
      <c r="G62" s="22">
        <f>G55+G61</f>
        <v>21804.67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4016319.13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10618316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3479.87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239977.8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14878092.799999999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2184286.7400000002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211738.67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99825.74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32637.66</v>
      </c>
      <c r="D76" s="95">
        <f>SUM('DOE25'!G130:G134)</f>
        <v>32128.57</v>
      </c>
      <c r="E76" s="95">
        <f>SUM('DOE25'!H130:H134)</f>
        <v>0</v>
      </c>
      <c r="F76" s="95">
        <f>SUM('DOE25'!I130:I134)</f>
        <v>761145.25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2528488.8100000005</v>
      </c>
      <c r="D77" s="130">
        <f>SUM(D71:D76)</f>
        <v>32128.57</v>
      </c>
      <c r="E77" s="130">
        <f>SUM(E71:E76)</f>
        <v>0</v>
      </c>
      <c r="F77" s="130">
        <f>SUM(F71:F76)</f>
        <v>761145.25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17406581.609999999</v>
      </c>
      <c r="D80" s="130">
        <f>SUM(D78:D79)+D77+D69</f>
        <v>32128.57</v>
      </c>
      <c r="E80" s="130">
        <f>SUM(E78:E79)+E77+E69</f>
        <v>0</v>
      </c>
      <c r="F80" s="130">
        <f>SUM(F78:F79)+F77+F69</f>
        <v>761145.25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0</v>
      </c>
      <c r="D87" s="95">
        <f>SUM('DOE25'!G152:G160)</f>
        <v>440172.55</v>
      </c>
      <c r="E87" s="95">
        <f>SUM('DOE25'!H152:H160)</f>
        <v>2519378.7300000004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0</v>
      </c>
      <c r="D90" s="131">
        <f>SUM(D84:D89)</f>
        <v>440172.55</v>
      </c>
      <c r="E90" s="131">
        <f>SUM(E84:E89)</f>
        <v>2519378.7300000004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3636.8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3636.8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42460435.149999991</v>
      </c>
      <c r="D103" s="86">
        <f>D62+D80+D90+D102</f>
        <v>940572.87</v>
      </c>
      <c r="E103" s="86">
        <f>E62+E80+E90+E102</f>
        <v>2519378.7300000004</v>
      </c>
      <c r="F103" s="86">
        <f>F62+F80+F90+F102</f>
        <v>764782.05</v>
      </c>
      <c r="G103" s="86">
        <f>G62+G80+G102</f>
        <v>21804.67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17041080.109999999</v>
      </c>
      <c r="D108" s="24" t="s">
        <v>289</v>
      </c>
      <c r="E108" s="95">
        <f>('DOE25'!L275)+('DOE25'!L294)+('DOE25'!L313)</f>
        <v>1240276.6099999999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6968505.5499999998</v>
      </c>
      <c r="D109" s="24" t="s">
        <v>289</v>
      </c>
      <c r="E109" s="95">
        <f>('DOE25'!L276)+('DOE25'!L295)+('DOE25'!L314)</f>
        <v>821712.47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1084656.52</v>
      </c>
      <c r="D110" s="24" t="s">
        <v>289</v>
      </c>
      <c r="E110" s="95">
        <f>('DOE25'!L277)+('DOE25'!L296)+('DOE25'!L315)</f>
        <v>102717.32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568222.0199999999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17565.37</v>
      </c>
      <c r="D113" s="24" t="s">
        <v>289</v>
      </c>
      <c r="E113" s="95">
        <f>+ SUM('DOE25'!L332:L334)</f>
        <v>245138.18000000002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25680029.57</v>
      </c>
      <c r="D114" s="86">
        <f>SUM(D108:D113)</f>
        <v>0</v>
      </c>
      <c r="E114" s="86">
        <f>SUM(E108:E113)</f>
        <v>2409844.58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1878577.8699999999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1366608.74</v>
      </c>
      <c r="D118" s="24" t="s">
        <v>289</v>
      </c>
      <c r="E118" s="95">
        <f>+('DOE25'!L281)+('DOE25'!L300)+('DOE25'!L319)</f>
        <v>99027.950000000012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618686.60999999987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2434484.02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425775.47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3931693.0900000003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2271302.71</v>
      </c>
      <c r="D123" s="24" t="s">
        <v>289</v>
      </c>
      <c r="E123" s="95">
        <f>+('DOE25'!L286)+('DOE25'!L305)+('DOE25'!L324)</f>
        <v>10506.2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986981.76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12927128.510000002</v>
      </c>
      <c r="D127" s="86">
        <f>SUM(D117:D126)</f>
        <v>986981.76</v>
      </c>
      <c r="E127" s="86">
        <f>SUM(E117:E126)</f>
        <v>109534.15000000001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149922.35999999999</v>
      </c>
      <c r="D129" s="24" t="s">
        <v>289</v>
      </c>
      <c r="E129" s="129">
        <f>'DOE25'!L335</f>
        <v>0</v>
      </c>
      <c r="F129" s="129">
        <f>SUM('DOE25'!L373:'DOE25'!L379)</f>
        <v>16192569.050000001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3846211.65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285770.21000000002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3636.8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21804.67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-21804.67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4281904.22</v>
      </c>
      <c r="D143" s="141">
        <f>SUM(D129:D142)</f>
        <v>0</v>
      </c>
      <c r="E143" s="141">
        <f>SUM(E129:E142)</f>
        <v>0</v>
      </c>
      <c r="F143" s="141">
        <f>SUM(F129:F142)</f>
        <v>16196205.850000001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42889062.299999997</v>
      </c>
      <c r="D144" s="86">
        <f>(D114+D127+D143)</f>
        <v>986981.76</v>
      </c>
      <c r="E144" s="86">
        <f>(E114+E127+E143)</f>
        <v>2519378.73</v>
      </c>
      <c r="F144" s="86">
        <f>(F114+F127+F143)</f>
        <v>16196205.850000001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10</v>
      </c>
      <c r="D150" s="153">
        <f>'DOE25'!H489</f>
        <v>5</v>
      </c>
      <c r="E150" s="153">
        <f>'DOE25'!I489</f>
        <v>30</v>
      </c>
      <c r="F150" s="153">
        <f>'DOE25'!J489</f>
        <v>30</v>
      </c>
      <c r="G150" s="24" t="s">
        <v>289</v>
      </c>
    </row>
    <row r="151" spans="1:9" x14ac:dyDescent="0.2">
      <c r="A151" s="136" t="s">
        <v>28</v>
      </c>
      <c r="B151" s="152" t="str">
        <f>'DOE25'!F490</f>
        <v>08/92</v>
      </c>
      <c r="C151" s="152" t="str">
        <f>'DOE25'!G490</f>
        <v>08/02</v>
      </c>
      <c r="D151" s="152" t="str">
        <f>'DOE25'!H490</f>
        <v>06/09</v>
      </c>
      <c r="E151" s="152" t="str">
        <f>'DOE25'!I490</f>
        <v>07/09</v>
      </c>
      <c r="F151" s="152" t="str">
        <f>'DOE25'!J490</f>
        <v>07/10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08/12</v>
      </c>
      <c r="C152" s="152" t="str">
        <f>'DOE25'!G491</f>
        <v>08/12</v>
      </c>
      <c r="D152" s="152" t="str">
        <f>'DOE25'!H491</f>
        <v>06/14</v>
      </c>
      <c r="E152" s="152" t="str">
        <f>'DOE25'!I491</f>
        <v>07/39</v>
      </c>
      <c r="F152" s="152" t="str">
        <f>'DOE25'!J491</f>
        <v>08/40</v>
      </c>
      <c r="G152" s="24" t="s">
        <v>289</v>
      </c>
    </row>
    <row r="153" spans="1:9" x14ac:dyDescent="0.2">
      <c r="A153" s="136" t="s">
        <v>30</v>
      </c>
      <c r="B153" s="137">
        <f>'DOE25'!F492</f>
        <v>2717849</v>
      </c>
      <c r="C153" s="137">
        <f>'DOE25'!G492</f>
        <v>2996343</v>
      </c>
      <c r="D153" s="137">
        <f>'DOE25'!H492</f>
        <v>325000</v>
      </c>
      <c r="E153" s="137">
        <f>'DOE25'!I492</f>
        <v>25000000</v>
      </c>
      <c r="F153" s="137">
        <f>'DOE25'!J492</f>
        <v>325508500</v>
      </c>
      <c r="G153" s="24" t="s">
        <v>289</v>
      </c>
    </row>
    <row r="154" spans="1:9" x14ac:dyDescent="0.2">
      <c r="A154" s="136" t="s">
        <v>31</v>
      </c>
      <c r="B154" s="137" t="str">
        <f>'DOE25'!F493</f>
        <v>"5.3-6.2</v>
      </c>
      <c r="C154" s="137" t="str">
        <f>'DOE25'!G493</f>
        <v>"3.0-4.0</v>
      </c>
      <c r="D154" s="137">
        <f>'DOE25'!H493</f>
        <v>3.61</v>
      </c>
      <c r="E154" s="137">
        <f>'DOE25'!I493</f>
        <v>4.3</v>
      </c>
      <c r="F154" s="137">
        <f>'DOE25'!J493</f>
        <v>4.46</v>
      </c>
      <c r="G154" s="24" t="s">
        <v>289</v>
      </c>
    </row>
    <row r="155" spans="1:9" x14ac:dyDescent="0.2">
      <c r="A155" s="22" t="s">
        <v>32</v>
      </c>
      <c r="B155" s="137">
        <f>'DOE25'!F494</f>
        <v>270000</v>
      </c>
      <c r="C155" s="137">
        <f>'DOE25'!G494</f>
        <v>590000</v>
      </c>
      <c r="D155" s="137">
        <f>'DOE25'!H494</f>
        <v>195000</v>
      </c>
      <c r="E155" s="137">
        <f>'DOE25'!I494</f>
        <v>23282520.73</v>
      </c>
      <c r="F155" s="137">
        <f>'DOE25'!J494</f>
        <v>31657182.460000001</v>
      </c>
      <c r="G155" s="138">
        <f>SUM(B155:F155)</f>
        <v>55994703.189999998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135000</v>
      </c>
      <c r="C157" s="137">
        <f>'DOE25'!G496</f>
        <v>295000</v>
      </c>
      <c r="D157" s="137">
        <f>'DOE25'!H496</f>
        <v>65000</v>
      </c>
      <c r="E157" s="137">
        <f>'DOE25'!I496</f>
        <v>1370172.09</v>
      </c>
      <c r="F157" s="137">
        <f>'DOE25'!J496</f>
        <v>1981039.56</v>
      </c>
      <c r="G157" s="138">
        <f t="shared" si="0"/>
        <v>3846211.6500000004</v>
      </c>
    </row>
    <row r="158" spans="1:9" x14ac:dyDescent="0.2">
      <c r="A158" s="22" t="s">
        <v>35</v>
      </c>
      <c r="B158" s="137">
        <f>'DOE25'!F497</f>
        <v>135000</v>
      </c>
      <c r="C158" s="137">
        <f>'DOE25'!G497</f>
        <v>295000</v>
      </c>
      <c r="D158" s="137">
        <f>'DOE25'!H497</f>
        <v>130000</v>
      </c>
      <c r="E158" s="137">
        <f>'DOE25'!I497</f>
        <v>21912348.640000001</v>
      </c>
      <c r="F158" s="137">
        <f>'DOE25'!J497</f>
        <v>29676142.899999999</v>
      </c>
      <c r="G158" s="138">
        <f t="shared" si="0"/>
        <v>52148491.539999999</v>
      </c>
    </row>
    <row r="159" spans="1:9" x14ac:dyDescent="0.2">
      <c r="A159" s="22" t="s">
        <v>36</v>
      </c>
      <c r="B159" s="137">
        <f>'DOE25'!F498</f>
        <v>4185</v>
      </c>
      <c r="C159" s="137">
        <f>'DOE25'!G498</f>
        <v>5900</v>
      </c>
      <c r="D159" s="137">
        <f>'DOE25'!H498</f>
        <v>7039.5</v>
      </c>
      <c r="E159" s="137">
        <f>'DOE25'!I498</f>
        <v>20011297.149999999</v>
      </c>
      <c r="F159" s="137">
        <f>'DOE25'!J498</f>
        <v>29246100.850000001</v>
      </c>
      <c r="G159" s="138">
        <f t="shared" si="0"/>
        <v>49274522.5</v>
      </c>
    </row>
    <row r="160" spans="1:9" x14ac:dyDescent="0.2">
      <c r="A160" s="22" t="s">
        <v>37</v>
      </c>
      <c r="B160" s="137">
        <f>'DOE25'!F499</f>
        <v>139185</v>
      </c>
      <c r="C160" s="137">
        <f>'DOE25'!G499</f>
        <v>300900</v>
      </c>
      <c r="D160" s="137">
        <f>'DOE25'!H499</f>
        <v>137039.5</v>
      </c>
      <c r="E160" s="137">
        <f>'DOE25'!I499</f>
        <v>41923645.789999999</v>
      </c>
      <c r="F160" s="137">
        <f>'DOE25'!J499</f>
        <v>58922243.75</v>
      </c>
      <c r="G160" s="138">
        <f t="shared" si="0"/>
        <v>101423014.03999999</v>
      </c>
    </row>
    <row r="161" spans="1:7" x14ac:dyDescent="0.2">
      <c r="A161" s="22" t="s">
        <v>38</v>
      </c>
      <c r="B161" s="137">
        <f>'DOE25'!F500</f>
        <v>135000</v>
      </c>
      <c r="C161" s="137">
        <f>'DOE25'!G500</f>
        <v>295000</v>
      </c>
      <c r="D161" s="137">
        <f>'DOE25'!H500</f>
        <v>65000</v>
      </c>
      <c r="E161" s="137">
        <f>'DOE25'!I500</f>
        <v>1317383.67</v>
      </c>
      <c r="F161" s="137">
        <f>'DOE25'!J500</f>
        <v>1889007.59</v>
      </c>
      <c r="G161" s="138">
        <f t="shared" si="0"/>
        <v>3701391.26</v>
      </c>
    </row>
    <row r="162" spans="1:7" x14ac:dyDescent="0.2">
      <c r="A162" s="22" t="s">
        <v>39</v>
      </c>
      <c r="B162" s="137">
        <f>'DOE25'!F501</f>
        <v>4185</v>
      </c>
      <c r="C162" s="137">
        <f>'DOE25'!G501</f>
        <v>5900</v>
      </c>
      <c r="D162" s="137">
        <f>'DOE25'!H501</f>
        <v>4693</v>
      </c>
      <c r="E162" s="137">
        <f>'DOE25'!I501</f>
        <v>182864.08</v>
      </c>
      <c r="F162" s="137">
        <f>'DOE25'!J501</f>
        <v>215204.91</v>
      </c>
      <c r="G162" s="138">
        <f t="shared" si="0"/>
        <v>412846.99</v>
      </c>
    </row>
    <row r="163" spans="1:7" x14ac:dyDescent="0.2">
      <c r="A163" s="22" t="s">
        <v>246</v>
      </c>
      <c r="B163" s="137">
        <f>'DOE25'!F502</f>
        <v>139185</v>
      </c>
      <c r="C163" s="137">
        <f>'DOE25'!G502</f>
        <v>300900</v>
      </c>
      <c r="D163" s="137">
        <f>'DOE25'!H502</f>
        <v>69693</v>
      </c>
      <c r="E163" s="137">
        <f>'DOE25'!I502</f>
        <v>1500247.75</v>
      </c>
      <c r="F163" s="137">
        <f>'DOE25'!J502</f>
        <v>2104212.5</v>
      </c>
      <c r="G163" s="138">
        <f t="shared" si="0"/>
        <v>4114238.25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Governor Wentworth Regional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16221</v>
      </c>
    </row>
    <row r="5" spans="1:4" x14ac:dyDescent="0.2">
      <c r="B5" t="s">
        <v>704</v>
      </c>
      <c r="C5" s="179">
        <f>IF('DOE25'!G664+'DOE25'!G669=0,0,ROUND('DOE25'!G671,0))</f>
        <v>16822</v>
      </c>
    </row>
    <row r="6" spans="1:4" x14ac:dyDescent="0.2">
      <c r="B6" t="s">
        <v>62</v>
      </c>
      <c r="C6" s="179">
        <f>IF('DOE25'!H664+'DOE25'!H669=0,0,ROUND('DOE25'!H671,0))</f>
        <v>15369</v>
      </c>
    </row>
    <row r="7" spans="1:4" x14ac:dyDescent="0.2">
      <c r="B7" t="s">
        <v>705</v>
      </c>
      <c r="C7" s="179">
        <f>IF('DOE25'!I664+'DOE25'!I669=0,0,ROUND('DOE25'!I671,0))</f>
        <v>16023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18281357</v>
      </c>
      <c r="D10" s="182">
        <f>ROUND((C10/$C$28)*100,1)</f>
        <v>43.6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7790218</v>
      </c>
      <c r="D11" s="182">
        <f>ROUND((C11/$C$28)*100,1)</f>
        <v>18.600000000000001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1187374</v>
      </c>
      <c r="D12" s="182">
        <f>ROUND((C12/$C$28)*100,1)</f>
        <v>2.8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568222</v>
      </c>
      <c r="D13" s="182">
        <f>ROUND((C13/$C$28)*100,1)</f>
        <v>1.4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1878578</v>
      </c>
      <c r="D15" s="182">
        <f t="shared" ref="D15:D27" si="0">ROUND((C15/$C$28)*100,1)</f>
        <v>4.5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1465637</v>
      </c>
      <c r="D16" s="182">
        <f t="shared" si="0"/>
        <v>3.5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618687</v>
      </c>
      <c r="D17" s="182">
        <f t="shared" si="0"/>
        <v>1.5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2434484</v>
      </c>
      <c r="D18" s="182">
        <f t="shared" si="0"/>
        <v>5.8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425775</v>
      </c>
      <c r="D19" s="182">
        <f t="shared" si="0"/>
        <v>1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3931693</v>
      </c>
      <c r="D20" s="182">
        <f t="shared" si="0"/>
        <v>9.4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2281809</v>
      </c>
      <c r="D21" s="182">
        <f t="shared" si="0"/>
        <v>5.4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262704</v>
      </c>
      <c r="D24" s="182">
        <f t="shared" si="0"/>
        <v>0.6</v>
      </c>
    </row>
    <row r="25" spans="1:4" x14ac:dyDescent="0.2">
      <c r="A25">
        <v>5120</v>
      </c>
      <c r="B25" t="s">
        <v>720</v>
      </c>
      <c r="C25" s="179">
        <f>ROUND('DOE25'!L260+'DOE25'!L341,0)</f>
        <v>285770</v>
      </c>
      <c r="D25" s="182">
        <f t="shared" si="0"/>
        <v>0.7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518710.25</v>
      </c>
      <c r="D27" s="182">
        <f t="shared" si="0"/>
        <v>1.2</v>
      </c>
    </row>
    <row r="28" spans="1:4" x14ac:dyDescent="0.2">
      <c r="B28" s="187" t="s">
        <v>723</v>
      </c>
      <c r="C28" s="180">
        <f>SUM(C10:C27)</f>
        <v>41931018.25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16342491</v>
      </c>
    </row>
    <row r="30" spans="1:4" x14ac:dyDescent="0.2">
      <c r="B30" s="187" t="s">
        <v>729</v>
      </c>
      <c r="C30" s="180">
        <f>SUM(C28:C29)</f>
        <v>58273509.25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3846212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24417065</v>
      </c>
      <c r="D35" s="182">
        <f t="shared" ref="D35:D40" si="1">ROUND((C35/$C$41)*100,1)</f>
        <v>52.8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658593.21000000462</v>
      </c>
      <c r="D36" s="182">
        <f t="shared" si="1"/>
        <v>1.4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14638115</v>
      </c>
      <c r="D37" s="182">
        <f t="shared" si="1"/>
        <v>31.7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3561740</v>
      </c>
      <c r="D38" s="182">
        <f t="shared" si="1"/>
        <v>7.7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2959551</v>
      </c>
      <c r="D39" s="182">
        <f t="shared" si="1"/>
        <v>6.4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46235064.210000008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 x14ac:dyDescent="0.2">
      <c r="A2" s="296" t="s">
        <v>767</v>
      </c>
      <c r="B2" s="297"/>
      <c r="C2" s="297"/>
      <c r="D2" s="297"/>
      <c r="E2" s="297"/>
      <c r="F2" s="290" t="str">
        <f>'DOE25'!A2</f>
        <v>Governor Wentworth Regional</v>
      </c>
      <c r="G2" s="291"/>
      <c r="H2" s="291"/>
      <c r="I2" s="291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8"/>
      <c r="AB29" s="208"/>
      <c r="AC29" s="293"/>
      <c r="AD29" s="293"/>
      <c r="AE29" s="293"/>
      <c r="AF29" s="293"/>
      <c r="AG29" s="293"/>
      <c r="AH29" s="293"/>
      <c r="AI29" s="293"/>
      <c r="AJ29" s="293"/>
      <c r="AK29" s="293"/>
      <c r="AL29" s="293"/>
      <c r="AM29" s="293"/>
      <c r="AN29" s="208"/>
      <c r="AO29" s="208"/>
      <c r="AP29" s="293"/>
      <c r="AQ29" s="293"/>
      <c r="AR29" s="293"/>
      <c r="AS29" s="293"/>
      <c r="AT29" s="293"/>
      <c r="AU29" s="293"/>
      <c r="AV29" s="293"/>
      <c r="AW29" s="293"/>
      <c r="AX29" s="293"/>
      <c r="AY29" s="293"/>
      <c r="AZ29" s="293"/>
      <c r="BA29" s="208"/>
      <c r="BB29" s="208"/>
      <c r="BC29" s="293"/>
      <c r="BD29" s="293"/>
      <c r="BE29" s="293"/>
      <c r="BF29" s="293"/>
      <c r="BG29" s="293"/>
      <c r="BH29" s="293"/>
      <c r="BI29" s="293"/>
      <c r="BJ29" s="293"/>
      <c r="BK29" s="293"/>
      <c r="BL29" s="293"/>
      <c r="BM29" s="293"/>
      <c r="BN29" s="208"/>
      <c r="BO29" s="208"/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08"/>
      <c r="CB29" s="208"/>
      <c r="CC29" s="293"/>
      <c r="CD29" s="293"/>
      <c r="CE29" s="293"/>
      <c r="CF29" s="293"/>
      <c r="CG29" s="293"/>
      <c r="CH29" s="293"/>
      <c r="CI29" s="293"/>
      <c r="CJ29" s="293"/>
      <c r="CK29" s="293"/>
      <c r="CL29" s="293"/>
      <c r="CM29" s="293"/>
      <c r="CN29" s="208"/>
      <c r="CO29" s="208"/>
      <c r="CP29" s="293"/>
      <c r="CQ29" s="293"/>
      <c r="CR29" s="293"/>
      <c r="CS29" s="293"/>
      <c r="CT29" s="293"/>
      <c r="CU29" s="293"/>
      <c r="CV29" s="293"/>
      <c r="CW29" s="293"/>
      <c r="CX29" s="293"/>
      <c r="CY29" s="293"/>
      <c r="CZ29" s="293"/>
      <c r="DA29" s="208"/>
      <c r="DB29" s="208"/>
      <c r="DC29" s="293"/>
      <c r="DD29" s="293"/>
      <c r="DE29" s="293"/>
      <c r="DF29" s="293"/>
      <c r="DG29" s="293"/>
      <c r="DH29" s="293"/>
      <c r="DI29" s="293"/>
      <c r="DJ29" s="293"/>
      <c r="DK29" s="293"/>
      <c r="DL29" s="293"/>
      <c r="DM29" s="293"/>
      <c r="DN29" s="208"/>
      <c r="DO29" s="208"/>
      <c r="DP29" s="293"/>
      <c r="DQ29" s="293"/>
      <c r="DR29" s="293"/>
      <c r="DS29" s="293"/>
      <c r="DT29" s="293"/>
      <c r="DU29" s="293"/>
      <c r="DV29" s="293"/>
      <c r="DW29" s="293"/>
      <c r="DX29" s="293"/>
      <c r="DY29" s="293"/>
      <c r="DZ29" s="293"/>
      <c r="EA29" s="208"/>
      <c r="EB29" s="208"/>
      <c r="EC29" s="293"/>
      <c r="ED29" s="293"/>
      <c r="EE29" s="293"/>
      <c r="EF29" s="293"/>
      <c r="EG29" s="293"/>
      <c r="EH29" s="293"/>
      <c r="EI29" s="293"/>
      <c r="EJ29" s="293"/>
      <c r="EK29" s="293"/>
      <c r="EL29" s="293"/>
      <c r="EM29" s="293"/>
      <c r="EN29" s="208"/>
      <c r="EO29" s="208"/>
      <c r="EP29" s="293"/>
      <c r="EQ29" s="293"/>
      <c r="ER29" s="293"/>
      <c r="ES29" s="293"/>
      <c r="ET29" s="293"/>
      <c r="EU29" s="293"/>
      <c r="EV29" s="293"/>
      <c r="EW29" s="293"/>
      <c r="EX29" s="293"/>
      <c r="EY29" s="293"/>
      <c r="EZ29" s="293"/>
      <c r="FA29" s="208"/>
      <c r="FB29" s="208"/>
      <c r="FC29" s="293"/>
      <c r="FD29" s="293"/>
      <c r="FE29" s="293"/>
      <c r="FF29" s="293"/>
      <c r="FG29" s="293"/>
      <c r="FH29" s="293"/>
      <c r="FI29" s="293"/>
      <c r="FJ29" s="293"/>
      <c r="FK29" s="293"/>
      <c r="FL29" s="293"/>
      <c r="FM29" s="293"/>
      <c r="FN29" s="208"/>
      <c r="FO29" s="208"/>
      <c r="FP29" s="293"/>
      <c r="FQ29" s="293"/>
      <c r="FR29" s="293"/>
      <c r="FS29" s="293"/>
      <c r="FT29" s="293"/>
      <c r="FU29" s="293"/>
      <c r="FV29" s="293"/>
      <c r="FW29" s="293"/>
      <c r="FX29" s="293"/>
      <c r="FY29" s="293"/>
      <c r="FZ29" s="293"/>
      <c r="GA29" s="208"/>
      <c r="GB29" s="208"/>
      <c r="GC29" s="293"/>
      <c r="GD29" s="293"/>
      <c r="GE29" s="293"/>
      <c r="GF29" s="293"/>
      <c r="GG29" s="293"/>
      <c r="GH29" s="293"/>
      <c r="GI29" s="293"/>
      <c r="GJ29" s="293"/>
      <c r="GK29" s="293"/>
      <c r="GL29" s="293"/>
      <c r="GM29" s="293"/>
      <c r="GN29" s="208"/>
      <c r="GO29" s="208"/>
      <c r="GP29" s="293"/>
      <c r="GQ29" s="293"/>
      <c r="GR29" s="293"/>
      <c r="GS29" s="293"/>
      <c r="GT29" s="293"/>
      <c r="GU29" s="293"/>
      <c r="GV29" s="293"/>
      <c r="GW29" s="293"/>
      <c r="GX29" s="293"/>
      <c r="GY29" s="293"/>
      <c r="GZ29" s="293"/>
      <c r="HA29" s="208"/>
      <c r="HB29" s="208"/>
      <c r="HC29" s="293"/>
      <c r="HD29" s="293"/>
      <c r="HE29" s="293"/>
      <c r="HF29" s="293"/>
      <c r="HG29" s="293"/>
      <c r="HH29" s="293"/>
      <c r="HI29" s="293"/>
      <c r="HJ29" s="293"/>
      <c r="HK29" s="293"/>
      <c r="HL29" s="293"/>
      <c r="HM29" s="293"/>
      <c r="HN29" s="208"/>
      <c r="HO29" s="208"/>
      <c r="HP29" s="293"/>
      <c r="HQ29" s="293"/>
      <c r="HR29" s="293"/>
      <c r="HS29" s="293"/>
      <c r="HT29" s="293"/>
      <c r="HU29" s="293"/>
      <c r="HV29" s="293"/>
      <c r="HW29" s="293"/>
      <c r="HX29" s="293"/>
      <c r="HY29" s="293"/>
      <c r="HZ29" s="293"/>
      <c r="IA29" s="208"/>
      <c r="IB29" s="208"/>
      <c r="IC29" s="293"/>
      <c r="ID29" s="293"/>
      <c r="IE29" s="293"/>
      <c r="IF29" s="293"/>
      <c r="IG29" s="293"/>
      <c r="IH29" s="293"/>
      <c r="II29" s="293"/>
      <c r="IJ29" s="293"/>
      <c r="IK29" s="293"/>
      <c r="IL29" s="293"/>
      <c r="IM29" s="293"/>
      <c r="IN29" s="208"/>
      <c r="IO29" s="208"/>
      <c r="IP29" s="293"/>
      <c r="IQ29" s="293"/>
      <c r="IR29" s="293"/>
      <c r="IS29" s="293"/>
      <c r="IT29" s="293"/>
      <c r="IU29" s="293"/>
      <c r="IV29" s="293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8"/>
      <c r="AB30" s="208"/>
      <c r="AC30" s="293"/>
      <c r="AD30" s="293"/>
      <c r="AE30" s="293"/>
      <c r="AF30" s="293"/>
      <c r="AG30" s="293"/>
      <c r="AH30" s="293"/>
      <c r="AI30" s="293"/>
      <c r="AJ30" s="293"/>
      <c r="AK30" s="293"/>
      <c r="AL30" s="293"/>
      <c r="AM30" s="293"/>
      <c r="AN30" s="208"/>
      <c r="AO30" s="208"/>
      <c r="AP30" s="293"/>
      <c r="AQ30" s="293"/>
      <c r="AR30" s="293"/>
      <c r="AS30" s="293"/>
      <c r="AT30" s="293"/>
      <c r="AU30" s="293"/>
      <c r="AV30" s="293"/>
      <c r="AW30" s="293"/>
      <c r="AX30" s="293"/>
      <c r="AY30" s="293"/>
      <c r="AZ30" s="293"/>
      <c r="BA30" s="208"/>
      <c r="BB30" s="208"/>
      <c r="BC30" s="293"/>
      <c r="BD30" s="293"/>
      <c r="BE30" s="293"/>
      <c r="BF30" s="293"/>
      <c r="BG30" s="293"/>
      <c r="BH30" s="293"/>
      <c r="BI30" s="293"/>
      <c r="BJ30" s="293"/>
      <c r="BK30" s="293"/>
      <c r="BL30" s="293"/>
      <c r="BM30" s="293"/>
      <c r="BN30" s="208"/>
      <c r="BO30" s="208"/>
      <c r="BP30" s="293"/>
      <c r="BQ30" s="293"/>
      <c r="BR30" s="293"/>
      <c r="BS30" s="293"/>
      <c r="BT30" s="293"/>
      <c r="BU30" s="293"/>
      <c r="BV30" s="293"/>
      <c r="BW30" s="293"/>
      <c r="BX30" s="293"/>
      <c r="BY30" s="293"/>
      <c r="BZ30" s="293"/>
      <c r="CA30" s="208"/>
      <c r="CB30" s="208"/>
      <c r="CC30" s="293"/>
      <c r="CD30" s="293"/>
      <c r="CE30" s="293"/>
      <c r="CF30" s="293"/>
      <c r="CG30" s="293"/>
      <c r="CH30" s="293"/>
      <c r="CI30" s="293"/>
      <c r="CJ30" s="293"/>
      <c r="CK30" s="293"/>
      <c r="CL30" s="293"/>
      <c r="CM30" s="293"/>
      <c r="CN30" s="208"/>
      <c r="CO30" s="208"/>
      <c r="CP30" s="293"/>
      <c r="CQ30" s="293"/>
      <c r="CR30" s="293"/>
      <c r="CS30" s="293"/>
      <c r="CT30" s="293"/>
      <c r="CU30" s="293"/>
      <c r="CV30" s="293"/>
      <c r="CW30" s="293"/>
      <c r="CX30" s="293"/>
      <c r="CY30" s="293"/>
      <c r="CZ30" s="293"/>
      <c r="DA30" s="208"/>
      <c r="DB30" s="208"/>
      <c r="DC30" s="293"/>
      <c r="DD30" s="293"/>
      <c r="DE30" s="293"/>
      <c r="DF30" s="293"/>
      <c r="DG30" s="293"/>
      <c r="DH30" s="293"/>
      <c r="DI30" s="293"/>
      <c r="DJ30" s="293"/>
      <c r="DK30" s="293"/>
      <c r="DL30" s="293"/>
      <c r="DM30" s="293"/>
      <c r="DN30" s="208"/>
      <c r="DO30" s="208"/>
      <c r="DP30" s="293"/>
      <c r="DQ30" s="293"/>
      <c r="DR30" s="293"/>
      <c r="DS30" s="293"/>
      <c r="DT30" s="293"/>
      <c r="DU30" s="293"/>
      <c r="DV30" s="293"/>
      <c r="DW30" s="293"/>
      <c r="DX30" s="293"/>
      <c r="DY30" s="293"/>
      <c r="DZ30" s="293"/>
      <c r="EA30" s="208"/>
      <c r="EB30" s="208"/>
      <c r="EC30" s="293"/>
      <c r="ED30" s="293"/>
      <c r="EE30" s="293"/>
      <c r="EF30" s="293"/>
      <c r="EG30" s="293"/>
      <c r="EH30" s="293"/>
      <c r="EI30" s="293"/>
      <c r="EJ30" s="293"/>
      <c r="EK30" s="293"/>
      <c r="EL30" s="293"/>
      <c r="EM30" s="293"/>
      <c r="EN30" s="208"/>
      <c r="EO30" s="208"/>
      <c r="EP30" s="293"/>
      <c r="EQ30" s="293"/>
      <c r="ER30" s="293"/>
      <c r="ES30" s="293"/>
      <c r="ET30" s="293"/>
      <c r="EU30" s="293"/>
      <c r="EV30" s="293"/>
      <c r="EW30" s="293"/>
      <c r="EX30" s="293"/>
      <c r="EY30" s="293"/>
      <c r="EZ30" s="293"/>
      <c r="FA30" s="208"/>
      <c r="FB30" s="208"/>
      <c r="FC30" s="293"/>
      <c r="FD30" s="293"/>
      <c r="FE30" s="293"/>
      <c r="FF30" s="293"/>
      <c r="FG30" s="293"/>
      <c r="FH30" s="293"/>
      <c r="FI30" s="293"/>
      <c r="FJ30" s="293"/>
      <c r="FK30" s="293"/>
      <c r="FL30" s="293"/>
      <c r="FM30" s="293"/>
      <c r="FN30" s="208"/>
      <c r="FO30" s="208"/>
      <c r="FP30" s="293"/>
      <c r="FQ30" s="293"/>
      <c r="FR30" s="293"/>
      <c r="FS30" s="293"/>
      <c r="FT30" s="293"/>
      <c r="FU30" s="293"/>
      <c r="FV30" s="293"/>
      <c r="FW30" s="293"/>
      <c r="FX30" s="293"/>
      <c r="FY30" s="293"/>
      <c r="FZ30" s="293"/>
      <c r="GA30" s="208"/>
      <c r="GB30" s="208"/>
      <c r="GC30" s="293"/>
      <c r="GD30" s="293"/>
      <c r="GE30" s="293"/>
      <c r="GF30" s="293"/>
      <c r="GG30" s="293"/>
      <c r="GH30" s="293"/>
      <c r="GI30" s="293"/>
      <c r="GJ30" s="293"/>
      <c r="GK30" s="293"/>
      <c r="GL30" s="293"/>
      <c r="GM30" s="293"/>
      <c r="GN30" s="208"/>
      <c r="GO30" s="208"/>
      <c r="GP30" s="293"/>
      <c r="GQ30" s="293"/>
      <c r="GR30" s="293"/>
      <c r="GS30" s="293"/>
      <c r="GT30" s="293"/>
      <c r="GU30" s="293"/>
      <c r="GV30" s="293"/>
      <c r="GW30" s="293"/>
      <c r="GX30" s="293"/>
      <c r="GY30" s="293"/>
      <c r="GZ30" s="293"/>
      <c r="HA30" s="208"/>
      <c r="HB30" s="208"/>
      <c r="HC30" s="293"/>
      <c r="HD30" s="293"/>
      <c r="HE30" s="293"/>
      <c r="HF30" s="293"/>
      <c r="HG30" s="293"/>
      <c r="HH30" s="293"/>
      <c r="HI30" s="293"/>
      <c r="HJ30" s="293"/>
      <c r="HK30" s="293"/>
      <c r="HL30" s="293"/>
      <c r="HM30" s="293"/>
      <c r="HN30" s="208"/>
      <c r="HO30" s="208"/>
      <c r="HP30" s="293"/>
      <c r="HQ30" s="293"/>
      <c r="HR30" s="293"/>
      <c r="HS30" s="293"/>
      <c r="HT30" s="293"/>
      <c r="HU30" s="293"/>
      <c r="HV30" s="293"/>
      <c r="HW30" s="293"/>
      <c r="HX30" s="293"/>
      <c r="HY30" s="293"/>
      <c r="HZ30" s="293"/>
      <c r="IA30" s="208"/>
      <c r="IB30" s="208"/>
      <c r="IC30" s="293"/>
      <c r="ID30" s="293"/>
      <c r="IE30" s="293"/>
      <c r="IF30" s="293"/>
      <c r="IG30" s="293"/>
      <c r="IH30" s="293"/>
      <c r="II30" s="293"/>
      <c r="IJ30" s="293"/>
      <c r="IK30" s="293"/>
      <c r="IL30" s="293"/>
      <c r="IM30" s="293"/>
      <c r="IN30" s="208"/>
      <c r="IO30" s="208"/>
      <c r="IP30" s="293"/>
      <c r="IQ30" s="293"/>
      <c r="IR30" s="293"/>
      <c r="IS30" s="293"/>
      <c r="IT30" s="293"/>
      <c r="IU30" s="293"/>
      <c r="IV30" s="293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8"/>
      <c r="AB31" s="208"/>
      <c r="AC31" s="293"/>
      <c r="AD31" s="293"/>
      <c r="AE31" s="293"/>
      <c r="AF31" s="293"/>
      <c r="AG31" s="293"/>
      <c r="AH31" s="293"/>
      <c r="AI31" s="293"/>
      <c r="AJ31" s="293"/>
      <c r="AK31" s="293"/>
      <c r="AL31" s="293"/>
      <c r="AM31" s="293"/>
      <c r="AN31" s="208"/>
      <c r="AO31" s="208"/>
      <c r="AP31" s="293"/>
      <c r="AQ31" s="293"/>
      <c r="AR31" s="293"/>
      <c r="AS31" s="293"/>
      <c r="AT31" s="293"/>
      <c r="AU31" s="293"/>
      <c r="AV31" s="293"/>
      <c r="AW31" s="293"/>
      <c r="AX31" s="293"/>
      <c r="AY31" s="293"/>
      <c r="AZ31" s="293"/>
      <c r="BA31" s="208"/>
      <c r="BB31" s="208"/>
      <c r="BC31" s="293"/>
      <c r="BD31" s="293"/>
      <c r="BE31" s="293"/>
      <c r="BF31" s="293"/>
      <c r="BG31" s="293"/>
      <c r="BH31" s="293"/>
      <c r="BI31" s="293"/>
      <c r="BJ31" s="293"/>
      <c r="BK31" s="293"/>
      <c r="BL31" s="293"/>
      <c r="BM31" s="293"/>
      <c r="BN31" s="208"/>
      <c r="BO31" s="208"/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08"/>
      <c r="CB31" s="208"/>
      <c r="CC31" s="293"/>
      <c r="CD31" s="293"/>
      <c r="CE31" s="293"/>
      <c r="CF31" s="293"/>
      <c r="CG31" s="293"/>
      <c r="CH31" s="293"/>
      <c r="CI31" s="293"/>
      <c r="CJ31" s="293"/>
      <c r="CK31" s="293"/>
      <c r="CL31" s="293"/>
      <c r="CM31" s="293"/>
      <c r="CN31" s="208"/>
      <c r="CO31" s="208"/>
      <c r="CP31" s="293"/>
      <c r="CQ31" s="293"/>
      <c r="CR31" s="293"/>
      <c r="CS31" s="293"/>
      <c r="CT31" s="293"/>
      <c r="CU31" s="293"/>
      <c r="CV31" s="293"/>
      <c r="CW31" s="293"/>
      <c r="CX31" s="293"/>
      <c r="CY31" s="293"/>
      <c r="CZ31" s="293"/>
      <c r="DA31" s="208"/>
      <c r="DB31" s="208"/>
      <c r="DC31" s="293"/>
      <c r="DD31" s="293"/>
      <c r="DE31" s="293"/>
      <c r="DF31" s="293"/>
      <c r="DG31" s="293"/>
      <c r="DH31" s="293"/>
      <c r="DI31" s="293"/>
      <c r="DJ31" s="293"/>
      <c r="DK31" s="293"/>
      <c r="DL31" s="293"/>
      <c r="DM31" s="293"/>
      <c r="DN31" s="208"/>
      <c r="DO31" s="208"/>
      <c r="DP31" s="293"/>
      <c r="DQ31" s="293"/>
      <c r="DR31" s="293"/>
      <c r="DS31" s="293"/>
      <c r="DT31" s="293"/>
      <c r="DU31" s="293"/>
      <c r="DV31" s="293"/>
      <c r="DW31" s="293"/>
      <c r="DX31" s="293"/>
      <c r="DY31" s="293"/>
      <c r="DZ31" s="293"/>
      <c r="EA31" s="208"/>
      <c r="EB31" s="208"/>
      <c r="EC31" s="293"/>
      <c r="ED31" s="293"/>
      <c r="EE31" s="293"/>
      <c r="EF31" s="293"/>
      <c r="EG31" s="293"/>
      <c r="EH31" s="293"/>
      <c r="EI31" s="293"/>
      <c r="EJ31" s="293"/>
      <c r="EK31" s="293"/>
      <c r="EL31" s="293"/>
      <c r="EM31" s="293"/>
      <c r="EN31" s="208"/>
      <c r="EO31" s="208"/>
      <c r="EP31" s="293"/>
      <c r="EQ31" s="293"/>
      <c r="ER31" s="293"/>
      <c r="ES31" s="293"/>
      <c r="ET31" s="293"/>
      <c r="EU31" s="293"/>
      <c r="EV31" s="293"/>
      <c r="EW31" s="293"/>
      <c r="EX31" s="293"/>
      <c r="EY31" s="293"/>
      <c r="EZ31" s="293"/>
      <c r="FA31" s="208"/>
      <c r="FB31" s="208"/>
      <c r="FC31" s="293"/>
      <c r="FD31" s="293"/>
      <c r="FE31" s="293"/>
      <c r="FF31" s="293"/>
      <c r="FG31" s="293"/>
      <c r="FH31" s="293"/>
      <c r="FI31" s="293"/>
      <c r="FJ31" s="293"/>
      <c r="FK31" s="293"/>
      <c r="FL31" s="293"/>
      <c r="FM31" s="293"/>
      <c r="FN31" s="208"/>
      <c r="FO31" s="208"/>
      <c r="FP31" s="293"/>
      <c r="FQ31" s="293"/>
      <c r="FR31" s="293"/>
      <c r="FS31" s="293"/>
      <c r="FT31" s="293"/>
      <c r="FU31" s="293"/>
      <c r="FV31" s="293"/>
      <c r="FW31" s="293"/>
      <c r="FX31" s="293"/>
      <c r="FY31" s="293"/>
      <c r="FZ31" s="293"/>
      <c r="GA31" s="208"/>
      <c r="GB31" s="208"/>
      <c r="GC31" s="293"/>
      <c r="GD31" s="293"/>
      <c r="GE31" s="293"/>
      <c r="GF31" s="293"/>
      <c r="GG31" s="293"/>
      <c r="GH31" s="293"/>
      <c r="GI31" s="293"/>
      <c r="GJ31" s="293"/>
      <c r="GK31" s="293"/>
      <c r="GL31" s="293"/>
      <c r="GM31" s="293"/>
      <c r="GN31" s="208"/>
      <c r="GO31" s="208"/>
      <c r="GP31" s="293"/>
      <c r="GQ31" s="293"/>
      <c r="GR31" s="293"/>
      <c r="GS31" s="293"/>
      <c r="GT31" s="293"/>
      <c r="GU31" s="293"/>
      <c r="GV31" s="293"/>
      <c r="GW31" s="293"/>
      <c r="GX31" s="293"/>
      <c r="GY31" s="293"/>
      <c r="GZ31" s="293"/>
      <c r="HA31" s="208"/>
      <c r="HB31" s="208"/>
      <c r="HC31" s="293"/>
      <c r="HD31" s="293"/>
      <c r="HE31" s="293"/>
      <c r="HF31" s="293"/>
      <c r="HG31" s="293"/>
      <c r="HH31" s="293"/>
      <c r="HI31" s="293"/>
      <c r="HJ31" s="293"/>
      <c r="HK31" s="293"/>
      <c r="HL31" s="293"/>
      <c r="HM31" s="293"/>
      <c r="HN31" s="208"/>
      <c r="HO31" s="208"/>
      <c r="HP31" s="293"/>
      <c r="HQ31" s="293"/>
      <c r="HR31" s="293"/>
      <c r="HS31" s="293"/>
      <c r="HT31" s="293"/>
      <c r="HU31" s="293"/>
      <c r="HV31" s="293"/>
      <c r="HW31" s="293"/>
      <c r="HX31" s="293"/>
      <c r="HY31" s="293"/>
      <c r="HZ31" s="293"/>
      <c r="IA31" s="208"/>
      <c r="IB31" s="208"/>
      <c r="IC31" s="293"/>
      <c r="ID31" s="293"/>
      <c r="IE31" s="293"/>
      <c r="IF31" s="293"/>
      <c r="IG31" s="293"/>
      <c r="IH31" s="293"/>
      <c r="II31" s="293"/>
      <c r="IJ31" s="293"/>
      <c r="IK31" s="293"/>
      <c r="IL31" s="293"/>
      <c r="IM31" s="293"/>
      <c r="IN31" s="208"/>
      <c r="IO31" s="208"/>
      <c r="IP31" s="293"/>
      <c r="IQ31" s="293"/>
      <c r="IR31" s="293"/>
      <c r="IS31" s="293"/>
      <c r="IT31" s="293"/>
      <c r="IU31" s="293"/>
      <c r="IV31" s="293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8"/>
      <c r="AB38" s="208"/>
      <c r="AC38" s="293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08"/>
      <c r="AO38" s="208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08"/>
      <c r="BB38" s="208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  <c r="BN38" s="208"/>
      <c r="BO38" s="208"/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08"/>
      <c r="CB38" s="208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08"/>
      <c r="CO38" s="208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08"/>
      <c r="DB38" s="208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3"/>
      <c r="DN38" s="208"/>
      <c r="DO38" s="208"/>
      <c r="DP38" s="293"/>
      <c r="DQ38" s="293"/>
      <c r="DR38" s="293"/>
      <c r="DS38" s="293"/>
      <c r="DT38" s="293"/>
      <c r="DU38" s="293"/>
      <c r="DV38" s="293"/>
      <c r="DW38" s="293"/>
      <c r="DX38" s="293"/>
      <c r="DY38" s="293"/>
      <c r="DZ38" s="293"/>
      <c r="EA38" s="208"/>
      <c r="EB38" s="208"/>
      <c r="EC38" s="293"/>
      <c r="ED38" s="293"/>
      <c r="EE38" s="293"/>
      <c r="EF38" s="293"/>
      <c r="EG38" s="293"/>
      <c r="EH38" s="293"/>
      <c r="EI38" s="293"/>
      <c r="EJ38" s="293"/>
      <c r="EK38" s="293"/>
      <c r="EL38" s="293"/>
      <c r="EM38" s="293"/>
      <c r="EN38" s="208"/>
      <c r="EO38" s="208"/>
      <c r="EP38" s="293"/>
      <c r="EQ38" s="293"/>
      <c r="ER38" s="293"/>
      <c r="ES38" s="293"/>
      <c r="ET38" s="293"/>
      <c r="EU38" s="293"/>
      <c r="EV38" s="293"/>
      <c r="EW38" s="293"/>
      <c r="EX38" s="293"/>
      <c r="EY38" s="293"/>
      <c r="EZ38" s="293"/>
      <c r="FA38" s="208"/>
      <c r="FB38" s="208"/>
      <c r="FC38" s="293"/>
      <c r="FD38" s="293"/>
      <c r="FE38" s="293"/>
      <c r="FF38" s="293"/>
      <c r="FG38" s="293"/>
      <c r="FH38" s="293"/>
      <c r="FI38" s="293"/>
      <c r="FJ38" s="293"/>
      <c r="FK38" s="293"/>
      <c r="FL38" s="293"/>
      <c r="FM38" s="293"/>
      <c r="FN38" s="208"/>
      <c r="FO38" s="208"/>
      <c r="FP38" s="293"/>
      <c r="FQ38" s="293"/>
      <c r="FR38" s="293"/>
      <c r="FS38" s="293"/>
      <c r="FT38" s="293"/>
      <c r="FU38" s="293"/>
      <c r="FV38" s="293"/>
      <c r="FW38" s="293"/>
      <c r="FX38" s="293"/>
      <c r="FY38" s="293"/>
      <c r="FZ38" s="293"/>
      <c r="GA38" s="208"/>
      <c r="GB38" s="208"/>
      <c r="GC38" s="293"/>
      <c r="GD38" s="293"/>
      <c r="GE38" s="293"/>
      <c r="GF38" s="293"/>
      <c r="GG38" s="293"/>
      <c r="GH38" s="293"/>
      <c r="GI38" s="293"/>
      <c r="GJ38" s="293"/>
      <c r="GK38" s="293"/>
      <c r="GL38" s="293"/>
      <c r="GM38" s="293"/>
      <c r="GN38" s="208"/>
      <c r="GO38" s="208"/>
      <c r="GP38" s="293"/>
      <c r="GQ38" s="293"/>
      <c r="GR38" s="293"/>
      <c r="GS38" s="293"/>
      <c r="GT38" s="293"/>
      <c r="GU38" s="293"/>
      <c r="GV38" s="293"/>
      <c r="GW38" s="293"/>
      <c r="GX38" s="293"/>
      <c r="GY38" s="293"/>
      <c r="GZ38" s="293"/>
      <c r="HA38" s="208"/>
      <c r="HB38" s="208"/>
      <c r="HC38" s="293"/>
      <c r="HD38" s="293"/>
      <c r="HE38" s="293"/>
      <c r="HF38" s="293"/>
      <c r="HG38" s="293"/>
      <c r="HH38" s="293"/>
      <c r="HI38" s="293"/>
      <c r="HJ38" s="293"/>
      <c r="HK38" s="293"/>
      <c r="HL38" s="293"/>
      <c r="HM38" s="293"/>
      <c r="HN38" s="208"/>
      <c r="HO38" s="208"/>
      <c r="HP38" s="293"/>
      <c r="HQ38" s="293"/>
      <c r="HR38" s="293"/>
      <c r="HS38" s="293"/>
      <c r="HT38" s="293"/>
      <c r="HU38" s="293"/>
      <c r="HV38" s="293"/>
      <c r="HW38" s="293"/>
      <c r="HX38" s="293"/>
      <c r="HY38" s="293"/>
      <c r="HZ38" s="293"/>
      <c r="IA38" s="208"/>
      <c r="IB38" s="208"/>
      <c r="IC38" s="293"/>
      <c r="ID38" s="293"/>
      <c r="IE38" s="293"/>
      <c r="IF38" s="293"/>
      <c r="IG38" s="293"/>
      <c r="IH38" s="293"/>
      <c r="II38" s="293"/>
      <c r="IJ38" s="293"/>
      <c r="IK38" s="293"/>
      <c r="IL38" s="293"/>
      <c r="IM38" s="293"/>
      <c r="IN38" s="208"/>
      <c r="IO38" s="208"/>
      <c r="IP38" s="293"/>
      <c r="IQ38" s="293"/>
      <c r="IR38" s="293"/>
      <c r="IS38" s="293"/>
      <c r="IT38" s="293"/>
      <c r="IU38" s="293"/>
      <c r="IV38" s="293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8"/>
      <c r="AB39" s="208"/>
      <c r="AC39" s="293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08"/>
      <c r="AO39" s="208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08"/>
      <c r="BB39" s="208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  <c r="BN39" s="208"/>
      <c r="BO39" s="208"/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08"/>
      <c r="CB39" s="208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08"/>
      <c r="CO39" s="208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08"/>
      <c r="DB39" s="208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3"/>
      <c r="DN39" s="208"/>
      <c r="DO39" s="208"/>
      <c r="DP39" s="293"/>
      <c r="DQ39" s="293"/>
      <c r="DR39" s="293"/>
      <c r="DS39" s="293"/>
      <c r="DT39" s="293"/>
      <c r="DU39" s="293"/>
      <c r="DV39" s="293"/>
      <c r="DW39" s="293"/>
      <c r="DX39" s="293"/>
      <c r="DY39" s="293"/>
      <c r="DZ39" s="293"/>
      <c r="EA39" s="208"/>
      <c r="EB39" s="208"/>
      <c r="EC39" s="293"/>
      <c r="ED39" s="293"/>
      <c r="EE39" s="293"/>
      <c r="EF39" s="293"/>
      <c r="EG39" s="293"/>
      <c r="EH39" s="293"/>
      <c r="EI39" s="293"/>
      <c r="EJ39" s="293"/>
      <c r="EK39" s="293"/>
      <c r="EL39" s="293"/>
      <c r="EM39" s="293"/>
      <c r="EN39" s="208"/>
      <c r="EO39" s="208"/>
      <c r="EP39" s="293"/>
      <c r="EQ39" s="293"/>
      <c r="ER39" s="293"/>
      <c r="ES39" s="293"/>
      <c r="ET39" s="293"/>
      <c r="EU39" s="293"/>
      <c r="EV39" s="293"/>
      <c r="EW39" s="293"/>
      <c r="EX39" s="293"/>
      <c r="EY39" s="293"/>
      <c r="EZ39" s="293"/>
      <c r="FA39" s="208"/>
      <c r="FB39" s="208"/>
      <c r="FC39" s="293"/>
      <c r="FD39" s="293"/>
      <c r="FE39" s="293"/>
      <c r="FF39" s="293"/>
      <c r="FG39" s="293"/>
      <c r="FH39" s="293"/>
      <c r="FI39" s="293"/>
      <c r="FJ39" s="293"/>
      <c r="FK39" s="293"/>
      <c r="FL39" s="293"/>
      <c r="FM39" s="293"/>
      <c r="FN39" s="208"/>
      <c r="FO39" s="208"/>
      <c r="FP39" s="293"/>
      <c r="FQ39" s="293"/>
      <c r="FR39" s="293"/>
      <c r="FS39" s="293"/>
      <c r="FT39" s="293"/>
      <c r="FU39" s="293"/>
      <c r="FV39" s="293"/>
      <c r="FW39" s="293"/>
      <c r="FX39" s="293"/>
      <c r="FY39" s="293"/>
      <c r="FZ39" s="293"/>
      <c r="GA39" s="208"/>
      <c r="GB39" s="208"/>
      <c r="GC39" s="293"/>
      <c r="GD39" s="293"/>
      <c r="GE39" s="293"/>
      <c r="GF39" s="293"/>
      <c r="GG39" s="293"/>
      <c r="GH39" s="293"/>
      <c r="GI39" s="293"/>
      <c r="GJ39" s="293"/>
      <c r="GK39" s="293"/>
      <c r="GL39" s="293"/>
      <c r="GM39" s="293"/>
      <c r="GN39" s="208"/>
      <c r="GO39" s="208"/>
      <c r="GP39" s="293"/>
      <c r="GQ39" s="293"/>
      <c r="GR39" s="293"/>
      <c r="GS39" s="293"/>
      <c r="GT39" s="293"/>
      <c r="GU39" s="293"/>
      <c r="GV39" s="293"/>
      <c r="GW39" s="293"/>
      <c r="GX39" s="293"/>
      <c r="GY39" s="293"/>
      <c r="GZ39" s="293"/>
      <c r="HA39" s="208"/>
      <c r="HB39" s="208"/>
      <c r="HC39" s="293"/>
      <c r="HD39" s="293"/>
      <c r="HE39" s="293"/>
      <c r="HF39" s="293"/>
      <c r="HG39" s="293"/>
      <c r="HH39" s="293"/>
      <c r="HI39" s="293"/>
      <c r="HJ39" s="293"/>
      <c r="HK39" s="293"/>
      <c r="HL39" s="293"/>
      <c r="HM39" s="293"/>
      <c r="HN39" s="208"/>
      <c r="HO39" s="208"/>
      <c r="HP39" s="293"/>
      <c r="HQ39" s="293"/>
      <c r="HR39" s="293"/>
      <c r="HS39" s="293"/>
      <c r="HT39" s="293"/>
      <c r="HU39" s="293"/>
      <c r="HV39" s="293"/>
      <c r="HW39" s="293"/>
      <c r="HX39" s="293"/>
      <c r="HY39" s="293"/>
      <c r="HZ39" s="293"/>
      <c r="IA39" s="208"/>
      <c r="IB39" s="208"/>
      <c r="IC39" s="293"/>
      <c r="ID39" s="293"/>
      <c r="IE39" s="293"/>
      <c r="IF39" s="293"/>
      <c r="IG39" s="293"/>
      <c r="IH39" s="293"/>
      <c r="II39" s="293"/>
      <c r="IJ39" s="293"/>
      <c r="IK39" s="293"/>
      <c r="IL39" s="293"/>
      <c r="IM39" s="293"/>
      <c r="IN39" s="208"/>
      <c r="IO39" s="208"/>
      <c r="IP39" s="293"/>
      <c r="IQ39" s="293"/>
      <c r="IR39" s="293"/>
      <c r="IS39" s="293"/>
      <c r="IT39" s="293"/>
      <c r="IU39" s="293"/>
      <c r="IV39" s="293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8"/>
      <c r="AB40" s="208"/>
      <c r="AC40" s="293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08"/>
      <c r="AO40" s="208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08"/>
      <c r="BB40" s="208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  <c r="BN40" s="208"/>
      <c r="BO40" s="208"/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08"/>
      <c r="CB40" s="208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08"/>
      <c r="CO40" s="208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08"/>
      <c r="DB40" s="208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3"/>
      <c r="DN40" s="208"/>
      <c r="DO40" s="208"/>
      <c r="DP40" s="293"/>
      <c r="DQ40" s="293"/>
      <c r="DR40" s="293"/>
      <c r="DS40" s="293"/>
      <c r="DT40" s="293"/>
      <c r="DU40" s="293"/>
      <c r="DV40" s="293"/>
      <c r="DW40" s="293"/>
      <c r="DX40" s="293"/>
      <c r="DY40" s="293"/>
      <c r="DZ40" s="293"/>
      <c r="EA40" s="208"/>
      <c r="EB40" s="208"/>
      <c r="EC40" s="293"/>
      <c r="ED40" s="293"/>
      <c r="EE40" s="293"/>
      <c r="EF40" s="293"/>
      <c r="EG40" s="293"/>
      <c r="EH40" s="293"/>
      <c r="EI40" s="293"/>
      <c r="EJ40" s="293"/>
      <c r="EK40" s="293"/>
      <c r="EL40" s="293"/>
      <c r="EM40" s="293"/>
      <c r="EN40" s="208"/>
      <c r="EO40" s="208"/>
      <c r="EP40" s="293"/>
      <c r="EQ40" s="293"/>
      <c r="ER40" s="293"/>
      <c r="ES40" s="293"/>
      <c r="ET40" s="293"/>
      <c r="EU40" s="293"/>
      <c r="EV40" s="293"/>
      <c r="EW40" s="293"/>
      <c r="EX40" s="293"/>
      <c r="EY40" s="293"/>
      <c r="EZ40" s="293"/>
      <c r="FA40" s="208"/>
      <c r="FB40" s="208"/>
      <c r="FC40" s="293"/>
      <c r="FD40" s="293"/>
      <c r="FE40" s="293"/>
      <c r="FF40" s="293"/>
      <c r="FG40" s="293"/>
      <c r="FH40" s="293"/>
      <c r="FI40" s="293"/>
      <c r="FJ40" s="293"/>
      <c r="FK40" s="293"/>
      <c r="FL40" s="293"/>
      <c r="FM40" s="293"/>
      <c r="FN40" s="208"/>
      <c r="FO40" s="208"/>
      <c r="FP40" s="293"/>
      <c r="FQ40" s="293"/>
      <c r="FR40" s="293"/>
      <c r="FS40" s="293"/>
      <c r="FT40" s="293"/>
      <c r="FU40" s="293"/>
      <c r="FV40" s="293"/>
      <c r="FW40" s="293"/>
      <c r="FX40" s="293"/>
      <c r="FY40" s="293"/>
      <c r="FZ40" s="293"/>
      <c r="GA40" s="208"/>
      <c r="GB40" s="208"/>
      <c r="GC40" s="293"/>
      <c r="GD40" s="293"/>
      <c r="GE40" s="293"/>
      <c r="GF40" s="293"/>
      <c r="GG40" s="293"/>
      <c r="GH40" s="293"/>
      <c r="GI40" s="293"/>
      <c r="GJ40" s="293"/>
      <c r="GK40" s="293"/>
      <c r="GL40" s="293"/>
      <c r="GM40" s="293"/>
      <c r="GN40" s="208"/>
      <c r="GO40" s="208"/>
      <c r="GP40" s="293"/>
      <c r="GQ40" s="293"/>
      <c r="GR40" s="293"/>
      <c r="GS40" s="293"/>
      <c r="GT40" s="293"/>
      <c r="GU40" s="293"/>
      <c r="GV40" s="293"/>
      <c r="GW40" s="293"/>
      <c r="GX40" s="293"/>
      <c r="GY40" s="293"/>
      <c r="GZ40" s="293"/>
      <c r="HA40" s="208"/>
      <c r="HB40" s="208"/>
      <c r="HC40" s="293"/>
      <c r="HD40" s="293"/>
      <c r="HE40" s="293"/>
      <c r="HF40" s="293"/>
      <c r="HG40" s="293"/>
      <c r="HH40" s="293"/>
      <c r="HI40" s="293"/>
      <c r="HJ40" s="293"/>
      <c r="HK40" s="293"/>
      <c r="HL40" s="293"/>
      <c r="HM40" s="293"/>
      <c r="HN40" s="208"/>
      <c r="HO40" s="208"/>
      <c r="HP40" s="293"/>
      <c r="HQ40" s="293"/>
      <c r="HR40" s="293"/>
      <c r="HS40" s="293"/>
      <c r="HT40" s="293"/>
      <c r="HU40" s="293"/>
      <c r="HV40" s="293"/>
      <c r="HW40" s="293"/>
      <c r="HX40" s="293"/>
      <c r="HY40" s="293"/>
      <c r="HZ40" s="293"/>
      <c r="IA40" s="208"/>
      <c r="IB40" s="208"/>
      <c r="IC40" s="293"/>
      <c r="ID40" s="293"/>
      <c r="IE40" s="293"/>
      <c r="IF40" s="293"/>
      <c r="IG40" s="293"/>
      <c r="IH40" s="293"/>
      <c r="II40" s="293"/>
      <c r="IJ40" s="293"/>
      <c r="IK40" s="293"/>
      <c r="IL40" s="293"/>
      <c r="IM40" s="293"/>
      <c r="IN40" s="208"/>
      <c r="IO40" s="208"/>
      <c r="IP40" s="293"/>
      <c r="IQ40" s="293"/>
      <c r="IR40" s="293"/>
      <c r="IS40" s="293"/>
      <c r="IT40" s="293"/>
      <c r="IU40" s="293"/>
      <c r="IV40" s="293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2012-08-20T12:10:51Z</cp:lastPrinted>
  <dcterms:created xsi:type="dcterms:W3CDTF">1997-12-04T19:04:30Z</dcterms:created>
  <dcterms:modified xsi:type="dcterms:W3CDTF">2012-11-21T14:35:14Z</dcterms:modified>
</cp:coreProperties>
</file>