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F49" i="1"/>
  <c r="F458" i="1"/>
  <c r="F439" i="1"/>
  <c r="H232" i="1"/>
  <c r="H574" i="1"/>
  <c r="F24" i="1"/>
  <c r="F22" i="1"/>
  <c r="H525" i="1"/>
  <c r="L423" i="1"/>
  <c r="H197" i="1"/>
  <c r="H158" i="1"/>
  <c r="I10" i="1"/>
  <c r="I47" i="1"/>
  <c r="F32" i="1"/>
  <c r="F9" i="1"/>
  <c r="H47" i="1"/>
  <c r="E46" i="2"/>
  <c r="J275" i="1"/>
  <c r="H144" i="1"/>
  <c r="H13" i="1"/>
  <c r="H275" i="1"/>
  <c r="H207" i="1"/>
  <c r="H590" i="1"/>
  <c r="H597" i="1" s="1"/>
  <c r="H648" i="1" s="1"/>
  <c r="H591" i="1"/>
  <c r="F581" i="1"/>
  <c r="H540" i="1"/>
  <c r="H543" i="1"/>
  <c r="C11" i="13"/>
  <c r="C20" i="12"/>
  <c r="C22" i="12" s="1"/>
  <c r="B20" i="12"/>
  <c r="F204" i="1"/>
  <c r="F197" i="1"/>
  <c r="B18" i="12" s="1"/>
  <c r="C10" i="12"/>
  <c r="C13" i="12" s="1"/>
  <c r="B10" i="12"/>
  <c r="I276" i="1"/>
  <c r="H276" i="1"/>
  <c r="H520" i="1" s="1"/>
  <c r="H523" i="1" s="1"/>
  <c r="G276" i="1"/>
  <c r="F276" i="1"/>
  <c r="F520" i="1" s="1"/>
  <c r="I275" i="1"/>
  <c r="H134" i="1"/>
  <c r="H22" i="1"/>
  <c r="G47" i="1"/>
  <c r="D46" i="2"/>
  <c r="F501" i="1"/>
  <c r="F498" i="1"/>
  <c r="B159" i="2" s="1"/>
  <c r="F497" i="1"/>
  <c r="K522" i="1"/>
  <c r="J522" i="1"/>
  <c r="I522" i="1"/>
  <c r="H522" i="1"/>
  <c r="G522" i="1"/>
  <c r="K521" i="1"/>
  <c r="J521" i="1"/>
  <c r="I521" i="1"/>
  <c r="H521" i="1"/>
  <c r="G521" i="1"/>
  <c r="K520" i="1"/>
  <c r="J520" i="1"/>
  <c r="J523" i="1" s="1"/>
  <c r="F522" i="1"/>
  <c r="L522" i="1" s="1"/>
  <c r="F550" i="1" s="1"/>
  <c r="F521" i="1"/>
  <c r="J590" i="1"/>
  <c r="I590" i="1"/>
  <c r="I597" i="1"/>
  <c r="H649" i="1" s="1"/>
  <c r="F367" i="1"/>
  <c r="F368" i="1" s="1"/>
  <c r="I357" i="1"/>
  <c r="I361" i="1" s="1"/>
  <c r="G633" i="1" s="1"/>
  <c r="G357" i="1"/>
  <c r="F357" i="1"/>
  <c r="L357" i="1" s="1"/>
  <c r="G96" i="1"/>
  <c r="G131" i="1"/>
  <c r="G135" i="1"/>
  <c r="L243" i="1"/>
  <c r="L207" i="1"/>
  <c r="H196" i="1"/>
  <c r="I202" i="1"/>
  <c r="J206" i="1"/>
  <c r="I206" i="1"/>
  <c r="H206" i="1"/>
  <c r="G206" i="1"/>
  <c r="F206" i="1"/>
  <c r="L206" i="1"/>
  <c r="K204" i="1"/>
  <c r="I204" i="1"/>
  <c r="H204" i="1"/>
  <c r="L204" i="1"/>
  <c r="G204" i="1"/>
  <c r="K203" i="1"/>
  <c r="G8" i="13" s="1"/>
  <c r="I203" i="1"/>
  <c r="H203" i="1"/>
  <c r="G203" i="1"/>
  <c r="F203" i="1"/>
  <c r="L203" i="1" s="1"/>
  <c r="H202" i="1"/>
  <c r="F202" i="1"/>
  <c r="J202" i="1"/>
  <c r="G202" i="1"/>
  <c r="H201" i="1"/>
  <c r="H210" i="1"/>
  <c r="I201" i="1"/>
  <c r="G201" i="1"/>
  <c r="F201" i="1"/>
  <c r="L201" i="1"/>
  <c r="K201" i="1"/>
  <c r="I197" i="1"/>
  <c r="I520" i="1" s="1"/>
  <c r="I523" i="1" s="1"/>
  <c r="I544" i="1" s="1"/>
  <c r="G197" i="1"/>
  <c r="L197" i="1"/>
  <c r="G520" i="1"/>
  <c r="J196" i="1"/>
  <c r="I196" i="1"/>
  <c r="L232" i="1"/>
  <c r="H214" i="1"/>
  <c r="G574" i="1"/>
  <c r="L214" i="1"/>
  <c r="G196" i="1"/>
  <c r="F196" i="1"/>
  <c r="F117" i="1"/>
  <c r="F120" i="1" s="1"/>
  <c r="F50" i="1"/>
  <c r="G621" i="1" s="1"/>
  <c r="F40" i="2"/>
  <c r="D39" i="2"/>
  <c r="G654" i="1"/>
  <c r="F47" i="2"/>
  <c r="E47" i="2"/>
  <c r="D47" i="2"/>
  <c r="C47" i="2"/>
  <c r="F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8" i="1"/>
  <c r="L199" i="1"/>
  <c r="L215" i="1"/>
  <c r="L216" i="1"/>
  <c r="L217" i="1"/>
  <c r="L233" i="1"/>
  <c r="L246" i="1" s="1"/>
  <c r="L234" i="1"/>
  <c r="L235" i="1"/>
  <c r="F6" i="13"/>
  <c r="G6" i="13"/>
  <c r="L219" i="1"/>
  <c r="L237" i="1"/>
  <c r="F7" i="13"/>
  <c r="G7" i="13"/>
  <c r="L238" i="1"/>
  <c r="F12" i="13"/>
  <c r="G12" i="13"/>
  <c r="L222" i="1"/>
  <c r="L240" i="1"/>
  <c r="F14" i="13"/>
  <c r="G14" i="13"/>
  <c r="L224" i="1"/>
  <c r="L242" i="1"/>
  <c r="F15" i="13"/>
  <c r="G15" i="13"/>
  <c r="L225" i="1"/>
  <c r="F17" i="13"/>
  <c r="G17" i="13"/>
  <c r="D17" i="13"/>
  <c r="L250" i="1"/>
  <c r="F18" i="13"/>
  <c r="G18" i="13"/>
  <c r="L251" i="1"/>
  <c r="F19" i="13"/>
  <c r="G19" i="13"/>
  <c r="L252" i="1"/>
  <c r="F29" i="13"/>
  <c r="G29" i="13"/>
  <c r="L358" i="1"/>
  <c r="L359" i="1"/>
  <c r="I366" i="1"/>
  <c r="J289" i="1"/>
  <c r="J308" i="1"/>
  <c r="J327" i="1"/>
  <c r="K289" i="1"/>
  <c r="K337" i="1" s="1"/>
  <c r="K308" i="1"/>
  <c r="K327" i="1"/>
  <c r="L275" i="1"/>
  <c r="L277" i="1"/>
  <c r="L278" i="1"/>
  <c r="L280" i="1"/>
  <c r="L281" i="1"/>
  <c r="L282" i="1"/>
  <c r="E119" i="2" s="1"/>
  <c r="L283" i="1"/>
  <c r="L284" i="1"/>
  <c r="L285" i="1"/>
  <c r="L286" i="1"/>
  <c r="L287" i="1"/>
  <c r="L294" i="1"/>
  <c r="E108" i="2"/>
  <c r="L295" i="1"/>
  <c r="L296" i="1"/>
  <c r="L308" i="1" s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131" i="2"/>
  <c r="L340" i="1"/>
  <c r="L341" i="1"/>
  <c r="L254" i="1"/>
  <c r="C129" i="2"/>
  <c r="L335" i="1"/>
  <c r="C10" i="13"/>
  <c r="C9" i="13"/>
  <c r="L360" i="1"/>
  <c r="B4" i="12"/>
  <c r="B36" i="12"/>
  <c r="C36" i="12"/>
  <c r="B40" i="12"/>
  <c r="C40" i="12"/>
  <c r="A40" i="12"/>
  <c r="B27" i="12"/>
  <c r="C27" i="12"/>
  <c r="B31" i="12"/>
  <c r="C31" i="12"/>
  <c r="B9" i="12"/>
  <c r="B13" i="12"/>
  <c r="C9" i="12"/>
  <c r="B22" i="12"/>
  <c r="B1" i="12"/>
  <c r="L386" i="1"/>
  <c r="L387" i="1"/>
  <c r="L388" i="1"/>
  <c r="L389" i="1"/>
  <c r="L390" i="1"/>
  <c r="L391" i="1"/>
  <c r="L394" i="1"/>
  <c r="L395" i="1"/>
  <c r="L400" i="1" s="1"/>
  <c r="C138" i="2" s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L611" i="1"/>
  <c r="G662" i="1" s="1"/>
  <c r="L610" i="1"/>
  <c r="C40" i="10"/>
  <c r="F59" i="1"/>
  <c r="C55" i="2"/>
  <c r="G59" i="1"/>
  <c r="H59" i="1"/>
  <c r="E55" i="2" s="1"/>
  <c r="I59" i="1"/>
  <c r="F78" i="1"/>
  <c r="C56" i="2" s="1"/>
  <c r="F93" i="1"/>
  <c r="C57" i="2" s="1"/>
  <c r="F110" i="1"/>
  <c r="G110" i="1"/>
  <c r="H78" i="1"/>
  <c r="H93" i="1"/>
  <c r="E57" i="2"/>
  <c r="H110" i="1"/>
  <c r="I110" i="1"/>
  <c r="J110" i="1"/>
  <c r="F135" i="1"/>
  <c r="G120" i="1"/>
  <c r="H120" i="1"/>
  <c r="H135" i="1"/>
  <c r="H139" i="1"/>
  <c r="I120" i="1"/>
  <c r="I139" i="1"/>
  <c r="I135" i="1"/>
  <c r="J120" i="1"/>
  <c r="J139" i="1" s="1"/>
  <c r="J135" i="1"/>
  <c r="F146" i="1"/>
  <c r="F161" i="1"/>
  <c r="G146" i="1"/>
  <c r="G161" i="1"/>
  <c r="H146" i="1"/>
  <c r="E84" i="2"/>
  <c r="H161" i="1"/>
  <c r="I146" i="1"/>
  <c r="I161" i="1"/>
  <c r="L249" i="1"/>
  <c r="C112" i="2" s="1"/>
  <c r="L331" i="1"/>
  <c r="L253" i="1"/>
  <c r="L267" i="1"/>
  <c r="L268" i="1"/>
  <c r="L348" i="1"/>
  <c r="E141" i="2" s="1"/>
  <c r="L349" i="1"/>
  <c r="I664" i="1"/>
  <c r="I669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E133" i="2"/>
  <c r="L344" i="1"/>
  <c r="E134" i="2"/>
  <c r="L345" i="1"/>
  <c r="L346" i="1"/>
  <c r="K350" i="1"/>
  <c r="L525" i="1"/>
  <c r="G548" i="1" s="1"/>
  <c r="L526" i="1"/>
  <c r="G549" i="1" s="1"/>
  <c r="L527" i="1"/>
  <c r="G550" i="1" s="1"/>
  <c r="L530" i="1"/>
  <c r="H548" i="1" s="1"/>
  <c r="H551" i="1" s="1"/>
  <c r="L531" i="1"/>
  <c r="H549" i="1"/>
  <c r="L532" i="1"/>
  <c r="H550" i="1"/>
  <c r="L535" i="1"/>
  <c r="I548" i="1"/>
  <c r="L536" i="1"/>
  <c r="I549" i="1"/>
  <c r="L537" i="1"/>
  <c r="L538" i="1"/>
  <c r="L540" i="1"/>
  <c r="J548" i="1"/>
  <c r="L541" i="1"/>
  <c r="J549" i="1"/>
  <c r="L542" i="1"/>
  <c r="J550" i="1"/>
  <c r="E130" i="2"/>
  <c r="K269" i="1"/>
  <c r="J269" i="1"/>
  <c r="I269" i="1"/>
  <c r="H269" i="1"/>
  <c r="G269" i="1"/>
  <c r="F269" i="1"/>
  <c r="L269" i="1"/>
  <c r="A1" i="2"/>
  <c r="A2" i="2"/>
  <c r="C8" i="2"/>
  <c r="D8" i="2"/>
  <c r="E8" i="2"/>
  <c r="F8" i="2"/>
  <c r="I438" i="1"/>
  <c r="C9" i="2"/>
  <c r="D9" i="2"/>
  <c r="E9" i="2"/>
  <c r="F9" i="2"/>
  <c r="I439" i="1"/>
  <c r="C10" i="2"/>
  <c r="C11" i="2"/>
  <c r="D11" i="2"/>
  <c r="E11" i="2"/>
  <c r="F11" i="2"/>
  <c r="I440" i="1"/>
  <c r="J12" i="1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/>
  <c r="C22" i="2"/>
  <c r="D22" i="2"/>
  <c r="D31" i="2" s="1"/>
  <c r="E22" i="2"/>
  <c r="F22" i="2"/>
  <c r="I448" i="1"/>
  <c r="J23" i="1"/>
  <c r="G22" i="2" s="1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I459" i="1" s="1"/>
  <c r="I456" i="1"/>
  <c r="J37" i="1" s="1"/>
  <c r="G36" i="2" s="1"/>
  <c r="I458" i="1"/>
  <c r="J47" i="1"/>
  <c r="C48" i="2"/>
  <c r="D55" i="2"/>
  <c r="E56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E77" i="2"/>
  <c r="E80" i="2" s="1"/>
  <c r="F76" i="2"/>
  <c r="F77" i="2" s="1"/>
  <c r="F80" i="2" s="1"/>
  <c r="G76" i="2"/>
  <c r="G77" i="2" s="1"/>
  <c r="G80" i="2" s="1"/>
  <c r="C78" i="2"/>
  <c r="D78" i="2"/>
  <c r="E78" i="2"/>
  <c r="C79" i="2"/>
  <c r="E79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F102" i="2" s="1"/>
  <c r="D95" i="2"/>
  <c r="E95" i="2"/>
  <c r="E102" i="2" s="1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D102" i="2" s="1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2" i="2"/>
  <c r="E113" i="2"/>
  <c r="D114" i="2"/>
  <c r="F114" i="2"/>
  <c r="G114" i="2"/>
  <c r="E117" i="2"/>
  <c r="E118" i="2"/>
  <c r="E121" i="2"/>
  <c r="E122" i="2"/>
  <c r="F127" i="2"/>
  <c r="G127" i="2"/>
  <c r="E129" i="2"/>
  <c r="D133" i="2"/>
  <c r="D143" i="2"/>
  <c r="F133" i="2"/>
  <c r="K418" i="1"/>
  <c r="K433" i="1" s="1"/>
  <c r="G133" i="2" s="1"/>
  <c r="G143" i="2" s="1"/>
  <c r="K426" i="1"/>
  <c r="K432" i="1"/>
  <c r="L262" i="1"/>
  <c r="C134" i="2" s="1"/>
  <c r="L263" i="1"/>
  <c r="C135" i="2" s="1"/>
  <c r="L264" i="1"/>
  <c r="C136" i="2" s="1"/>
  <c r="E136" i="2"/>
  <c r="C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C159" i="2"/>
  <c r="D159" i="2"/>
  <c r="E159" i="2"/>
  <c r="F159" i="2"/>
  <c r="G499" i="1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G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/>
  <c r="H19" i="1"/>
  <c r="G618" i="1"/>
  <c r="I19" i="1"/>
  <c r="G32" i="1"/>
  <c r="H32" i="1"/>
  <c r="I32" i="1"/>
  <c r="G50" i="1"/>
  <c r="H50" i="1"/>
  <c r="G623" i="1" s="1"/>
  <c r="I50" i="1"/>
  <c r="G624" i="1" s="1"/>
  <c r="F176" i="1"/>
  <c r="I176" i="1"/>
  <c r="F182" i="1"/>
  <c r="G182" i="1"/>
  <c r="G191" i="1"/>
  <c r="H182" i="1"/>
  <c r="I182" i="1"/>
  <c r="J182" i="1"/>
  <c r="G644" i="1" s="1"/>
  <c r="F187" i="1"/>
  <c r="G187" i="1"/>
  <c r="H187" i="1"/>
  <c r="H191" i="1" s="1"/>
  <c r="I187" i="1"/>
  <c r="I210" i="1"/>
  <c r="J210" i="1"/>
  <c r="K210" i="1"/>
  <c r="G228" i="1"/>
  <c r="H228" i="1"/>
  <c r="H256" i="1" s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L255" i="1" s="1"/>
  <c r="K255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H337" i="1" s="1"/>
  <c r="H351" i="1" s="1"/>
  <c r="I336" i="1"/>
  <c r="J336" i="1"/>
  <c r="J337" i="1" s="1"/>
  <c r="J351" i="1" s="1"/>
  <c r="K336" i="1"/>
  <c r="F361" i="1"/>
  <c r="G361" i="1"/>
  <c r="H361" i="1"/>
  <c r="J361" i="1"/>
  <c r="K361" i="1"/>
  <c r="I367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I400" i="1"/>
  <c r="F406" i="1"/>
  <c r="G406" i="1"/>
  <c r="H406" i="1"/>
  <c r="I406" i="1"/>
  <c r="F407" i="1"/>
  <c r="G407" i="1"/>
  <c r="H407" i="1"/>
  <c r="H643" i="1"/>
  <c r="L412" i="1"/>
  <c r="L413" i="1"/>
  <c r="L414" i="1"/>
  <c r="L415" i="1"/>
  <c r="L416" i="1"/>
  <c r="L417" i="1"/>
  <c r="F418" i="1"/>
  <c r="G418" i="1"/>
  <c r="H418" i="1"/>
  <c r="I418" i="1"/>
  <c r="I433" i="1" s="1"/>
  <c r="J418" i="1"/>
  <c r="L420" i="1"/>
  <c r="L421" i="1"/>
  <c r="L422" i="1"/>
  <c r="L424" i="1"/>
  <c r="L425" i="1"/>
  <c r="F426" i="1"/>
  <c r="G426" i="1"/>
  <c r="H426" i="1"/>
  <c r="H433" i="1" s="1"/>
  <c r="I426" i="1"/>
  <c r="J426" i="1"/>
  <c r="L428" i="1"/>
  <c r="L432" i="1" s="1"/>
  <c r="L429" i="1"/>
  <c r="L430" i="1"/>
  <c r="L431" i="1"/>
  <c r="F432" i="1"/>
  <c r="G432" i="1"/>
  <c r="G433" i="1" s="1"/>
  <c r="H432" i="1"/>
  <c r="I432" i="1"/>
  <c r="J432" i="1"/>
  <c r="F445" i="1"/>
  <c r="G638" i="1" s="1"/>
  <c r="G445" i="1"/>
  <c r="G639" i="1" s="1"/>
  <c r="H445" i="1"/>
  <c r="G640" i="1" s="1"/>
  <c r="F451" i="1"/>
  <c r="F460" i="1" s="1"/>
  <c r="H638" i="1" s="1"/>
  <c r="G451" i="1"/>
  <c r="H451" i="1"/>
  <c r="H460" i="1" s="1"/>
  <c r="H640" i="1" s="1"/>
  <c r="F459" i="1"/>
  <c r="G459" i="1"/>
  <c r="G460" i="1" s="1"/>
  <c r="H639" i="1" s="1"/>
  <c r="H459" i="1"/>
  <c r="I473" i="1"/>
  <c r="K494" i="1"/>
  <c r="K495" i="1"/>
  <c r="K496" i="1"/>
  <c r="K497" i="1"/>
  <c r="K500" i="1"/>
  <c r="K501" i="1"/>
  <c r="F516" i="1"/>
  <c r="G516" i="1"/>
  <c r="H516" i="1"/>
  <c r="I516" i="1"/>
  <c r="G523" i="1"/>
  <c r="G544" i="1" s="1"/>
  <c r="K523" i="1"/>
  <c r="K544" i="1" s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I543" i="1"/>
  <c r="J543" i="1"/>
  <c r="K543" i="1"/>
  <c r="L556" i="1"/>
  <c r="L557" i="1"/>
  <c r="L558" i="1"/>
  <c r="L559" i="1" s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I570" i="1"/>
  <c r="J564" i="1"/>
  <c r="K564" i="1"/>
  <c r="L566" i="1"/>
  <c r="L567" i="1"/>
  <c r="L569" i="1" s="1"/>
  <c r="L568" i="1"/>
  <c r="F569" i="1"/>
  <c r="F570" i="1"/>
  <c r="G569" i="1"/>
  <c r="H569" i="1"/>
  <c r="I569" i="1"/>
  <c r="J569" i="1"/>
  <c r="K569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1" i="1"/>
  <c r="K592" i="1"/>
  <c r="K593" i="1"/>
  <c r="K594" i="1"/>
  <c r="K595" i="1"/>
  <c r="K596" i="1"/>
  <c r="J597" i="1"/>
  <c r="H650" i="1" s="1"/>
  <c r="K601" i="1"/>
  <c r="K602" i="1"/>
  <c r="I604" i="1"/>
  <c r="J604" i="1"/>
  <c r="F613" i="1"/>
  <c r="G613" i="1"/>
  <c r="H613" i="1"/>
  <c r="I613" i="1"/>
  <c r="J613" i="1"/>
  <c r="K613" i="1"/>
  <c r="L613" i="1"/>
  <c r="G619" i="1"/>
  <c r="G622" i="1"/>
  <c r="H635" i="1"/>
  <c r="G642" i="1"/>
  <c r="H642" i="1"/>
  <c r="G643" i="1"/>
  <c r="H644" i="1"/>
  <c r="G651" i="1"/>
  <c r="H651" i="1"/>
  <c r="G652" i="1"/>
  <c r="H652" i="1"/>
  <c r="G653" i="1"/>
  <c r="H653" i="1"/>
  <c r="J653" i="1" s="1"/>
  <c r="H654" i="1"/>
  <c r="J654" i="1" s="1"/>
  <c r="E49" i="2"/>
  <c r="E18" i="2"/>
  <c r="G102" i="2"/>
  <c r="H168" i="1"/>
  <c r="J642" i="1"/>
  <c r="C23" i="10"/>
  <c r="C29" i="10"/>
  <c r="H570" i="1"/>
  <c r="L521" i="1"/>
  <c r="F549" i="1" s="1"/>
  <c r="H660" i="1"/>
  <c r="G111" i="1"/>
  <c r="F228" i="1"/>
  <c r="L220" i="1"/>
  <c r="L202" i="1"/>
  <c r="D7" i="13" s="1"/>
  <c r="C7" i="13" s="1"/>
  <c r="C18" i="12"/>
  <c r="G210" i="1"/>
  <c r="G256" i="1" s="1"/>
  <c r="G270" i="1" s="1"/>
  <c r="F111" i="1"/>
  <c r="C69" i="2"/>
  <c r="C49" i="2"/>
  <c r="K570" i="1"/>
  <c r="L564" i="1"/>
  <c r="C142" i="2"/>
  <c r="C26" i="10"/>
  <c r="F168" i="1"/>
  <c r="C84" i="2"/>
  <c r="C90" i="2"/>
  <c r="F22" i="13"/>
  <c r="C22" i="13"/>
  <c r="J640" i="1"/>
  <c r="C160" i="2"/>
  <c r="F129" i="2"/>
  <c r="F143" i="2" s="1"/>
  <c r="F144" i="2" s="1"/>
  <c r="G31" i="13"/>
  <c r="K256" i="1"/>
  <c r="K270" i="1" s="1"/>
  <c r="I256" i="1"/>
  <c r="I270" i="1" s="1"/>
  <c r="E61" i="2"/>
  <c r="J10" i="1"/>
  <c r="J651" i="1"/>
  <c r="G570" i="1"/>
  <c r="I51" i="1"/>
  <c r="H619" i="1" s="1"/>
  <c r="J619" i="1" s="1"/>
  <c r="D18" i="2"/>
  <c r="C130" i="2"/>
  <c r="G139" i="1"/>
  <c r="J433" i="1"/>
  <c r="F433" i="1"/>
  <c r="F84" i="2"/>
  <c r="F90" i="2" s="1"/>
  <c r="F103" i="2" s="1"/>
  <c r="I168" i="1"/>
  <c r="F55" i="2"/>
  <c r="I111" i="1"/>
  <c r="F660" i="1"/>
  <c r="G650" i="1"/>
  <c r="J650" i="1" s="1"/>
  <c r="H661" i="1"/>
  <c r="C18" i="10"/>
  <c r="C108" i="2"/>
  <c r="I191" i="1"/>
  <c r="C102" i="2"/>
  <c r="I451" i="1"/>
  <c r="A31" i="12"/>
  <c r="D19" i="13"/>
  <c r="C19" i="13"/>
  <c r="F191" i="1"/>
  <c r="G648" i="1"/>
  <c r="J648" i="1" s="1"/>
  <c r="C15" i="10"/>
  <c r="C117" i="2"/>
  <c r="C110" i="2"/>
  <c r="C118" i="2"/>
  <c r="C16" i="10"/>
  <c r="F499" i="1"/>
  <c r="B160" i="2"/>
  <c r="G160" i="2" s="1"/>
  <c r="K498" i="1"/>
  <c r="F210" i="1"/>
  <c r="F256" i="1"/>
  <c r="A13" i="12"/>
  <c r="L520" i="1"/>
  <c r="L523" i="1" s="1"/>
  <c r="L544" i="1" s="1"/>
  <c r="F523" i="1"/>
  <c r="F544" i="1" s="1"/>
  <c r="L276" i="1"/>
  <c r="E109" i="2" s="1"/>
  <c r="E114" i="2" s="1"/>
  <c r="F289" i="1"/>
  <c r="F337" i="1" s="1"/>
  <c r="F351" i="1" s="1"/>
  <c r="F31" i="13"/>
  <c r="C10" i="10"/>
  <c r="H51" i="1"/>
  <c r="H618" i="1"/>
  <c r="D49" i="2"/>
  <c r="G51" i="1"/>
  <c r="H617" i="1" s="1"/>
  <c r="J617" i="1" s="1"/>
  <c r="C11" i="10"/>
  <c r="K590" i="1"/>
  <c r="K597" i="1" s="1"/>
  <c r="G646" i="1" s="1"/>
  <c r="J646" i="1" s="1"/>
  <c r="L543" i="1"/>
  <c r="L533" i="1"/>
  <c r="E90" i="2"/>
  <c r="G9" i="2"/>
  <c r="K499" i="1"/>
  <c r="I192" i="1"/>
  <c r="I467" i="1"/>
  <c r="G161" i="2"/>
  <c r="G159" i="2"/>
  <c r="G155" i="2"/>
  <c r="L381" i="1"/>
  <c r="G635" i="1" s="1"/>
  <c r="J635" i="1" s="1"/>
  <c r="K502" i="1"/>
  <c r="G144" i="2"/>
  <c r="F61" i="2"/>
  <c r="F62" i="2"/>
  <c r="E31" i="2"/>
  <c r="E50" i="2"/>
  <c r="H270" i="1"/>
  <c r="J544" i="1"/>
  <c r="I550" i="1"/>
  <c r="I551" i="1"/>
  <c r="C24" i="10"/>
  <c r="J111" i="1"/>
  <c r="K550" i="1"/>
  <c r="C23" i="2"/>
  <c r="C31" i="2"/>
  <c r="C50" i="2" s="1"/>
  <c r="D50" i="2"/>
  <c r="J644" i="1"/>
  <c r="G11" i="2"/>
  <c r="J191" i="1"/>
  <c r="J192" i="1"/>
  <c r="J467" i="1" s="1"/>
  <c r="G551" i="1"/>
  <c r="H544" i="1"/>
  <c r="C17" i="13"/>
  <c r="G61" i="2"/>
  <c r="G62" i="2"/>
  <c r="G103" i="2" s="1"/>
  <c r="D80" i="2"/>
  <c r="G46" i="2"/>
  <c r="J638" i="1"/>
  <c r="F18" i="2"/>
  <c r="F31" i="2"/>
  <c r="G630" i="1"/>
  <c r="G649" i="1"/>
  <c r="J649" i="1" s="1"/>
  <c r="H646" i="1"/>
  <c r="C123" i="2"/>
  <c r="G661" i="1"/>
  <c r="C21" i="10"/>
  <c r="D15" i="13"/>
  <c r="C15" i="13"/>
  <c r="C122" i="2"/>
  <c r="D14" i="13"/>
  <c r="C14" i="13" s="1"/>
  <c r="C20" i="10"/>
  <c r="D12" i="13"/>
  <c r="C12" i="13"/>
  <c r="C120" i="2"/>
  <c r="L228" i="1"/>
  <c r="G659" i="1" s="1"/>
  <c r="G33" i="13"/>
  <c r="D6" i="13"/>
  <c r="C6" i="13"/>
  <c r="C111" i="2"/>
  <c r="C13" i="10"/>
  <c r="L210" i="1"/>
  <c r="D5" i="13"/>
  <c r="F33" i="13"/>
  <c r="C119" i="2"/>
  <c r="C17" i="10"/>
  <c r="E8" i="13"/>
  <c r="I574" i="1"/>
  <c r="H662" i="1"/>
  <c r="G645" i="1"/>
  <c r="G629" i="1"/>
  <c r="J629" i="1" s="1"/>
  <c r="L289" i="1"/>
  <c r="H603" i="1"/>
  <c r="J256" i="1"/>
  <c r="J618" i="1"/>
  <c r="H629" i="1"/>
  <c r="I469" i="1"/>
  <c r="I475" i="1" s="1"/>
  <c r="H624" i="1" s="1"/>
  <c r="J624" i="1" s="1"/>
  <c r="F548" i="1"/>
  <c r="F49" i="2"/>
  <c r="F50" i="2"/>
  <c r="J32" i="1"/>
  <c r="G21" i="2"/>
  <c r="G31" i="2" s="1"/>
  <c r="F270" i="1"/>
  <c r="J643" i="1"/>
  <c r="I460" i="1"/>
  <c r="H641" i="1"/>
  <c r="J43" i="1"/>
  <c r="J570" i="1"/>
  <c r="L570" i="1"/>
  <c r="L418" i="1"/>
  <c r="G163" i="2"/>
  <c r="G157" i="2"/>
  <c r="C61" i="2"/>
  <c r="C62" i="2"/>
  <c r="L406" i="1"/>
  <c r="C139" i="2"/>
  <c r="E131" i="2"/>
  <c r="E143" i="2"/>
  <c r="L350" i="1"/>
  <c r="C25" i="10"/>
  <c r="C32" i="10"/>
  <c r="H25" i="13"/>
  <c r="E111" i="2"/>
  <c r="L327" i="1"/>
  <c r="H659" i="1" s="1"/>
  <c r="H663" i="1" s="1"/>
  <c r="E124" i="2"/>
  <c r="E120" i="2"/>
  <c r="E16" i="13"/>
  <c r="C16" i="13"/>
  <c r="C124" i="2"/>
  <c r="E13" i="13"/>
  <c r="C13" i="13" s="1"/>
  <c r="C19" i="10"/>
  <c r="C121" i="2"/>
  <c r="F139" i="1"/>
  <c r="F192" i="1" s="1"/>
  <c r="G626" i="1" s="1"/>
  <c r="G337" i="1"/>
  <c r="G351" i="1" s="1"/>
  <c r="C77" i="2"/>
  <c r="C80" i="2" s="1"/>
  <c r="J9" i="1"/>
  <c r="I445" i="1"/>
  <c r="G641" i="1"/>
  <c r="J641" i="1" s="1"/>
  <c r="J551" i="1"/>
  <c r="C35" i="10"/>
  <c r="H111" i="1"/>
  <c r="H192" i="1" s="1"/>
  <c r="E123" i="2"/>
  <c r="E127" i="2" s="1"/>
  <c r="F661" i="1"/>
  <c r="K351" i="1"/>
  <c r="I368" i="1"/>
  <c r="H633" i="1"/>
  <c r="J633" i="1" s="1"/>
  <c r="C113" i="2"/>
  <c r="D18" i="13"/>
  <c r="C18" i="13"/>
  <c r="C109" i="2"/>
  <c r="C114" i="2"/>
  <c r="G660" i="1"/>
  <c r="I660" i="1"/>
  <c r="D29" i="13"/>
  <c r="C29" i="13"/>
  <c r="L361" i="1"/>
  <c r="D126" i="2"/>
  <c r="D127" i="2" s="1"/>
  <c r="D144" i="2" s="1"/>
  <c r="G168" i="1"/>
  <c r="G192" i="1" s="1"/>
  <c r="D84" i="2"/>
  <c r="D90" i="2" s="1"/>
  <c r="D103" i="2" s="1"/>
  <c r="L392" i="1"/>
  <c r="C37" i="10"/>
  <c r="G8" i="2"/>
  <c r="G18" i="2"/>
  <c r="J19" i="1"/>
  <c r="G620" i="1"/>
  <c r="L407" i="1"/>
  <c r="C137" i="2"/>
  <c r="C36" i="10"/>
  <c r="H33" i="13"/>
  <c r="C25" i="13"/>
  <c r="C27" i="10"/>
  <c r="G471" i="1"/>
  <c r="G634" i="1"/>
  <c r="I661" i="1"/>
  <c r="J50" i="1"/>
  <c r="G42" i="2"/>
  <c r="G49" i="2"/>
  <c r="G50" i="2" s="1"/>
  <c r="K603" i="1"/>
  <c r="K604" i="1" s="1"/>
  <c r="G647" i="1" s="1"/>
  <c r="J647" i="1" s="1"/>
  <c r="F662" i="1"/>
  <c r="I662" i="1" s="1"/>
  <c r="H604" i="1"/>
  <c r="E33" i="13"/>
  <c r="D35" i="13"/>
  <c r="C8" i="13"/>
  <c r="D33" i="13"/>
  <c r="D36" i="13" s="1"/>
  <c r="C5" i="13"/>
  <c r="K548" i="1"/>
  <c r="D31" i="13"/>
  <c r="C31" i="13"/>
  <c r="L337" i="1"/>
  <c r="L351" i="1"/>
  <c r="H471" i="1" s="1"/>
  <c r="F659" i="1"/>
  <c r="L256" i="1"/>
  <c r="L270" i="1" s="1"/>
  <c r="C127" i="2"/>
  <c r="H647" i="1"/>
  <c r="J270" i="1"/>
  <c r="G632" i="1"/>
  <c r="H634" i="1"/>
  <c r="J634" i="1" s="1"/>
  <c r="G473" i="1"/>
  <c r="C140" i="2"/>
  <c r="C143" i="2" s="1"/>
  <c r="C144" i="2" s="1"/>
  <c r="F663" i="1"/>
  <c r="J51" i="1"/>
  <c r="H620" i="1" s="1"/>
  <c r="J620" i="1" s="1"/>
  <c r="G625" i="1"/>
  <c r="H645" i="1"/>
  <c r="J645" i="1"/>
  <c r="G636" i="1"/>
  <c r="F666" i="1"/>
  <c r="F671" i="1"/>
  <c r="C4" i="10" s="1"/>
  <c r="H467" i="1" l="1"/>
  <c r="G628" i="1"/>
  <c r="H630" i="1"/>
  <c r="H636" i="1"/>
  <c r="J636" i="1" s="1"/>
  <c r="J469" i="1"/>
  <c r="E144" i="2"/>
  <c r="G631" i="1"/>
  <c r="F471" i="1"/>
  <c r="H632" i="1"/>
  <c r="J632" i="1" s="1"/>
  <c r="H473" i="1"/>
  <c r="G627" i="1"/>
  <c r="G467" i="1"/>
  <c r="H671" i="1"/>
  <c r="H666" i="1"/>
  <c r="G663" i="1"/>
  <c r="I659" i="1"/>
  <c r="I663" i="1" s="1"/>
  <c r="J630" i="1"/>
  <c r="K549" i="1"/>
  <c r="K551" i="1" s="1"/>
  <c r="F551" i="1"/>
  <c r="J652" i="1"/>
  <c r="E62" i="2"/>
  <c r="E103" i="2" s="1"/>
  <c r="C39" i="10"/>
  <c r="C38" i="10"/>
  <c r="C103" i="2"/>
  <c r="J639" i="1"/>
  <c r="A22" i="12"/>
  <c r="C18" i="2"/>
  <c r="C12" i="10"/>
  <c r="L426" i="1"/>
  <c r="L433" i="1" s="1"/>
  <c r="J471" i="1" s="1"/>
  <c r="F51" i="1"/>
  <c r="H616" i="1" s="1"/>
  <c r="J616" i="1"/>
  <c r="F467" i="1"/>
  <c r="G637" i="1"/>
  <c r="C41" i="10" l="1"/>
  <c r="G671" i="1"/>
  <c r="G666" i="1"/>
  <c r="H631" i="1"/>
  <c r="F473" i="1"/>
  <c r="C28" i="10"/>
  <c r="D12" i="10" s="1"/>
  <c r="D39" i="10"/>
  <c r="I666" i="1"/>
  <c r="I671" i="1"/>
  <c r="C7" i="10" s="1"/>
  <c r="G469" i="1"/>
  <c r="G475" i="1" s="1"/>
  <c r="H622" i="1" s="1"/>
  <c r="J622" i="1" s="1"/>
  <c r="H627" i="1"/>
  <c r="J627" i="1" s="1"/>
  <c r="J631" i="1"/>
  <c r="H628" i="1"/>
  <c r="J628" i="1" s="1"/>
  <c r="H469" i="1"/>
  <c r="H475" i="1" s="1"/>
  <c r="H623" i="1" s="1"/>
  <c r="J623" i="1" s="1"/>
  <c r="F469" i="1"/>
  <c r="F475" i="1" s="1"/>
  <c r="H621" i="1" s="1"/>
  <c r="J621" i="1" s="1"/>
  <c r="H626" i="1"/>
  <c r="J626" i="1" s="1"/>
  <c r="J473" i="1"/>
  <c r="J475" i="1" s="1"/>
  <c r="H625" i="1" s="1"/>
  <c r="J625" i="1" s="1"/>
  <c r="H637" i="1"/>
  <c r="J637" i="1"/>
  <c r="D40" i="10" l="1"/>
  <c r="D37" i="10"/>
  <c r="D35" i="10"/>
  <c r="D36" i="10"/>
  <c r="D25" i="10"/>
  <c r="D20" i="10"/>
  <c r="D13" i="10"/>
  <c r="D19" i="10"/>
  <c r="D16" i="10"/>
  <c r="D26" i="10"/>
  <c r="D22" i="10"/>
  <c r="D15" i="10"/>
  <c r="D18" i="10"/>
  <c r="D21" i="10"/>
  <c r="D17" i="10"/>
  <c r="D27" i="10"/>
  <c r="D10" i="10"/>
  <c r="D28" i="10" s="1"/>
  <c r="D23" i="10"/>
  <c r="D24" i="10"/>
  <c r="D11" i="10"/>
  <c r="C30" i="10"/>
  <c r="D38" i="10"/>
  <c r="H655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<sst xmlns="http://schemas.openxmlformats.org/spreadsheetml/2006/main" count="3945" uniqueCount="912">
  <si>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</si>
  <si>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</si>
  <si>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</si>
  <si>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</si>
  <si>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</si>
  <si>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</si>
  <si>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</si>
  <si>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</si>
  <si>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</si>
  <si>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</si>
  <si>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</si>
  <si>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</si>
  <si>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</si>
  <si>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</si>
  <si>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</si>
  <si>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</si>
  <si>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</si>
  <si>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</si>
  <si>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</si>
  <si>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</si>
  <si>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</si>
  <si>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</si>
  <si>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</si>
  <si>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</si>
  <si>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</si>
  <si>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</si>
  <si>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</si>
  <si>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</si>
  <si>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</si>
  <si>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</si>
  <si>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</si>
  <si>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</si>
  <si>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</si>
  <si>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</si>
  <si>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</si>
  <si>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</si>
  <si>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</si>
  <si>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</si>
  <si>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</si>
  <si>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</si>
  <si>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</si>
  <si>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</si>
  <si>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</si>
  <si>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</si>
  <si>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</si>
  <si>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</si>
  <si>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</si>
  <si>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</si>
  <si>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</si>
  <si>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</si>
  <si>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</si>
  <si>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</si>
  <si>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</si>
  <si>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</si>
  <si>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</si>
  <si>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</si>
  <si>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</si>
  <si>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</si>
  <si>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</si>
  <si>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</si>
  <si>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</si>
  <si>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</si>
  <si>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</si>
  <si>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</si>
  <si>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</si>
  <si>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</si>
  <si>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</si>
  <si>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</si>
  <si>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</si>
  <si>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</si>
  <si>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</si>
  <si>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</si>
  <si>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</si>
  <si>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</si>
  <si>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</si>
  <si>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</si>
  <si>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</si>
  <si>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</si>
  <si>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</si>
  <si>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</si>
  <si>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</si>
  <si>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</si>
  <si>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</si>
  <si>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</si>
  <si>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</si>
  <si>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</si>
  <si>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</si>
  <si>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</si>
  <si>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</si>
  <si>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</si>
  <si>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</si>
  <si>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</si>
  <si>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</si>
  <si>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</si>
  <si>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</si>
  <si>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</si>
  <si>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</si>
  <si>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</si>
  <si>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</si>
  <si>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</si>
  <si>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</si>
  <si>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</si>
  <si>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</si>
  <si>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</si>
  <si>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</si>
  <si>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</si>
  <si>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</si>
  <si>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</si>
  <si>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</si>
  <si>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</si>
  <si>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</si>
  <si>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</si>
  <si>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</si>
  <si>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</si>
  <si>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</si>
  <si>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</si>
  <si>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</si>
  <si>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</si>
  <si>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</si>
  <si>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</si>
  <si>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</si>
  <si>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</si>
  <si>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</si>
  <si>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</si>
  <si>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</si>
  <si>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</si>
  <si>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</si>
  <si>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</si>
  <si>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</si>
  <si>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</si>
  <si>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</si>
  <si>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</si>
  <si>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</si>
  <si>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</si>
  <si>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</si>
  <si>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</si>
  <si>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</si>
  <si>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</si>
  <si>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</si>
  <si>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</si>
  <si>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</si>
  <si>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</si>
  <si>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</si>
  <si>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</si>
  <si>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</si>
  <si>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</si>
  <si>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</si>
  <si>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</si>
  <si>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</si>
  <si>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</si>
  <si>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</si>
  <si>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</si>
  <si>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</si>
  <si>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</si>
  <si>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</si>
  <si>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</si>
  <si>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</si>
  <si>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</si>
  <si>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</si>
  <si>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</si>
  <si>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</si>
  <si>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</si>
  <si>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</si>
  <si>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</si>
  <si>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</si>
  <si>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</si>
  <si>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</si>
  <si>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</si>
  <si>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</si>
  <si>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</si>
  <si>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</si>
  <si>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</si>
  <si>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</si>
  <si>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</si>
  <si>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</si>
  <si>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</si>
  <si>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</si>
  <si>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</si>
  <si>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</si>
  <si>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</si>
  <si>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</si>
  <si>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</si>
  <si>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</si>
  <si>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</si>
  <si>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</si>
  <si>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</si>
  <si>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</si>
  <si>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</si>
  <si>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</si>
  <si>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</si>
  <si>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</si>
  <si>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</si>
  <si>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</si>
  <si>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</si>
  <si>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</si>
  <si>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</si>
  <si>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</si>
  <si>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</si>
  <si>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</si>
  <si>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</si>
  <si>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</si>
  <si>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</si>
  <si>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</si>
  <si>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</si>
  <si>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</si>
  <si>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</si>
  <si>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</si>
  <si>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</si>
  <si>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</si>
  <si>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</si>
  <si>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</si>
  <si>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</si>
  <si>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</si>
  <si>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</si>
  <si>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</si>
  <si>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</si>
  <si>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</si>
  <si>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</si>
  <si>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</si>
  <si>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</si>
  <si>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</si>
  <si>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</si>
  <si>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</si>
  <si>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</si>
  <si>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</si>
  <si>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</si>
  <si>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</si>
  <si>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</si>
  <si>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</si>
  <si>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</si>
  <si>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</si>
  <si>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</si>
  <si>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</si>
  <si>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</si>
  <si>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</si>
  <si>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</si>
  <si>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</si>
  <si>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</si>
  <si>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</si>
  <si>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</si>
  <si>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</si>
  <si>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</si>
  <si>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</si>
  <si>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</si>
  <si>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</si>
  <si>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</si>
  <si>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</si>
  <si>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</si>
  <si>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</si>
  <si>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</si>
  <si>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</si>
  <si>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</si>
  <si>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</si>
  <si>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</si>
  <si>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</si>
  <si>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</si>
  <si>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</si>
  <si>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</si>
  <si>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</si>
  <si>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</si>
  <si>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</si>
  <si>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</si>
  <si>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</si>
  <si>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</si>
  <si>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</si>
  <si>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</si>
  <si>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</si>
  <si>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</si>
  <si>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</si>
  <si>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</si>
  <si>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</si>
  <si>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</si>
  <si>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</si>
  <si>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</si>
  <si>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</si>
  <si>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</si>
  <si>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</si>
  <si>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</si>
  <si>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</si>
  <si>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</si>
  <si>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</si>
  <si>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</si>
  <si>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</si>
  <si>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</si>
  <si>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</si>
  <si>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</si>
  <si>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</si>
  <si>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</si>
  <si>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</si>
  <si>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</si>
  <si>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</si>
  <si>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</si>
  <si>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</si>
  <si>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</si>
  <si>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</si>
  <si>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</si>
  <si>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</si>
  <si>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</si>
  <si>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</si>
  <si>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</si>
  <si>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</si>
  <si>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</si>
  <si>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</si>
  <si>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</si>
  <si>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</si>
  <si>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</si>
  <si>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</si>
  <si>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</si>
  <si>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</si>
  <si>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</si>
  <si>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</si>
  <si>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</si>
  <si>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</si>
  <si>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</si>
  <si>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</si>
  <si>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</si>
  <si>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</si>
  <si>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</si>
  <si>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</si>
  <si>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</si>
  <si>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</si>
  <si>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</si>
  <si>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</si>
  <si>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</si>
  <si>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</si>
  <si>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</si>
  <si>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</si>
  <si>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</si>
  <si>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</si>
  <si>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</si>
  <si>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</si>
  <si>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</si>
  <si>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</si>
  <si>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</si>
  <si>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</si>
  <si>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</si>
  <si>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</si>
  <si>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</si>
  <si>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</si>
  <si>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</si>
  <si>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</si>
  <si>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</si>
  <si>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</si>
  <si>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</si>
  <si>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</si>
  <si>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</si>
  <si>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</si>
  <si>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</si>
  <si>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</si>
  <si>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</si>
  <si>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</si>
  <si>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</si>
  <si>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</si>
  <si>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</si>
  <si>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</si>
  <si>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</si>
  <si>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</si>
  <si>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</si>
  <si>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</si>
  <si>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</si>
  <si>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</si>
  <si>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</si>
  <si>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</si>
  <si>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</si>
  <si>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</si>
  <si>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</si>
  <si>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</si>
  <si>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</si>
  <si>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</si>
  <si>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</si>
  <si>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</si>
  <si>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</si>
  <si>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</si>
  <si>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</si>
  <si>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</si>
  <si>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</si>
  <si>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</si>
  <si>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</si>
  <si>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</si>
  <si>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</si>
  <si>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</si>
  <si>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</si>
  <si>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</si>
  <si>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</si>
  <si>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</si>
  <si>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</si>
  <si>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</si>
  <si>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</si>
  <si>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</si>
  <si>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</si>
  <si>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</si>
  <si>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</si>
  <si>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</si>
  <si>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</si>
  <si>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</si>
  <si>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</si>
  <si>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</si>
  <si>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</si>
  <si>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</si>
  <si>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</si>
  <si>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</si>
  <si>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</si>
  <si>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</si>
  <si>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</si>
  <si>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</si>
  <si>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</si>
  <si>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</si>
  <si>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</si>
  <si>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</si>
  <si>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</si>
  <si>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</si>
  <si>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</si>
  <si>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</si>
  <si>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</si>
  <si>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</si>
  <si>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</si>
  <si>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</si>
  <si>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</si>
  <si>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</si>
  <si>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</si>
  <si>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</si>
  <si>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</si>
  <si>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</si>
  <si>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</si>
  <si>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</si>
  <si>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</si>
  <si>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</si>
  <si>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</si>
  <si>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</si>
  <si>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</si>
  <si>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</si>
  <si>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</si>
  <si>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</si>
  <si>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</si>
  <si>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</si>
  <si>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</si>
  <si>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</si>
  <si>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</si>
  <si>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</si>
  <si>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</si>
  <si>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</si>
  <si>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</si>
  <si>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</si>
  <si>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</si>
  <si>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</si>
  <si>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</si>
  <si>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</si>
  <si>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</si>
  <si>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</si>
  <si>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</si>
  <si>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</si>
  <si>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</si>
  <si>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</si>
  <si>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</si>
  <si>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</si>
  <si>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</si>
  <si>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</si>
  <si>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</si>
  <si>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</si>
  <si>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</si>
  <si>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</si>
  <si>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</si>
  <si>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</si>
  <si>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</si>
  <si>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</si>
  <si>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</si>
  <si>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</si>
  <si>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</si>
  <si>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</si>
  <si>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</si>
  <si>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</si>
  <si>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</si>
  <si>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</si>
  <si>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</si>
  <si>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</si>
  <si>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</si>
  <si>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</si>
  <si>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</si>
  <si>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</si>
  <si>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</si>
  <si>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</si>
  <si>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</si>
  <si>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</si>
  <si>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</si>
  <si>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</si>
  <si>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</si>
  <si>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</si>
  <si>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</si>
  <si>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</si>
  <si>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</si>
  <si>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</si>
  <si>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</si>
  <si>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</si>
  <si>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</si>
  <si>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</si>
  <si>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</si>
  <si>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</si>
  <si>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</si>
  <si>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</si>
  <si>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</si>
  <si>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</si>
  <si>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</si>
  <si>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</si>
  <si>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</si>
  <si>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</si>
  <si>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</si>
  <si>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</si>
  <si>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</si>
  <si>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</si>
  <si>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</si>
  <si>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</si>
  <si>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</si>
  <si>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</si>
  <si>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</si>
  <si>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</si>
  <si>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</si>
  <si>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</si>
  <si>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</si>
  <si>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</si>
  <si>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</si>
  <si>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</si>
  <si>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</si>
  <si>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</si>
  <si>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</si>
  <si>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</si>
  <si>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</si>
  <si>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</si>
  <si>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</si>
  <si>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</si>
  <si>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</si>
  <si>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</si>
  <si>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</si>
  <si>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</si>
  <si>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</si>
  <si>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</si>
  <si>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</si>
  <si>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</si>
  <si>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</si>
  <si>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</si>
  <si>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</si>
  <si>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</si>
  <si>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</si>
  <si>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</si>
  <si>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</si>
  <si>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</si>
  <si>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</si>
  <si>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</si>
  <si>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</si>
  <si>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</si>
  <si>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</si>
  <si>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</si>
  <si>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</si>
  <si>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</si>
  <si>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</si>
  <si>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</si>
  <si>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</si>
  <si>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</si>
  <si>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</si>
  <si>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</si>
  <si>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</si>
  <si>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</si>
  <si>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</si>
  <si>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</si>
  <si>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</si>
  <si>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</si>
  <si>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</si>
  <si>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</si>
  <si>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</si>
  <si>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</si>
  <si>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</si>
  <si>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</si>
  <si>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</si>
  <si>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</si>
  <si>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</si>
  <si>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</si>
  <si>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</si>
  <si>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</si>
  <si>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</si>
  <si>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</si>
  <si>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</si>
  <si>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</si>
  <si>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</si>
  <si>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</si>
  <si>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</si>
  <si>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</si>
  <si>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</si>
  <si>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</si>
  <si>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</si>
  <si>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</si>
  <si>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</si>
  <si>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</si>
  <si>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</si>
  <si>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</si>
  <si>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</si>
  <si>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</si>
  <si>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</si>
  <si>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</si>
  <si>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</si>
  <si>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</si>
  <si>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</si>
  <si>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</si>
  <si>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</si>
  <si>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</si>
  <si>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</si>
  <si>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</si>
  <si>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</si>
  <si>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</si>
  <si>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</si>
  <si>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</si>
  <si>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</si>
  <si>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</si>
  <si>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</si>
  <si>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</si>
  <si>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</si>
  <si>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</si>
  <si>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</si>
  <si>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</si>
  <si>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</si>
  <si>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</si>
  <si>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</si>
  <si>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</si>
  <si>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</si>
  <si>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</si>
  <si>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</si>
  <si>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</si>
  <si>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</si>
  <si>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</si>
  <si>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</si>
  <si>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</si>
  <si>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</si>
  <si>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</si>
  <si>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</si>
  <si>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</si>
  <si>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</si>
  <si>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</si>
  <si>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</si>
  <si>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</si>
  <si>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</si>
  <si>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</si>
  <si>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</si>
  <si>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</si>
  <si>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</si>
  <si>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</si>
  <si>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</si>
  <si>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</si>
  <si>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</si>
  <si>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</si>
  <si>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</si>
  <si>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</si>
  <si>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</si>
  <si>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</si>
  <si>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</si>
  <si>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</si>
  <si>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</si>
  <si>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</si>
  <si>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</si>
  <si>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</si>
  <si>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</si>
  <si>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</si>
  <si>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</si>
  <si>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</si>
  <si>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</si>
  <si>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</si>
  <si>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</si>
  <si>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</si>
  <si>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</si>
  <si>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</si>
  <si>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</si>
  <si>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</si>
  <si>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</si>
  <si>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</si>
  <si>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</si>
  <si>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</si>
  <si>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</si>
  <si>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</si>
  <si>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</si>
  <si>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</si>
  <si>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</si>
  <si>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</si>
  <si>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</si>
  <si>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</si>
  <si>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</si>
  <si>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</si>
  <si>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</si>
  <si>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</si>
  <si>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</si>
  <si>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</si>
  <si>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</si>
  <si>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</si>
  <si>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</si>
  <si>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</si>
  <si>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</si>
  <si>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</si>
  <si>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</si>
  <si>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</si>
  <si>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</si>
  <si>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</si>
  <si>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</si>
  <si>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</si>
  <si>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</si>
  <si>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</si>
  <si>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</si>
  <si>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</si>
  <si>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</si>
  <si>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</si>
  <si>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</si>
  <si>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</si>
  <si>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</si>
  <si>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</si>
  <si>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</si>
  <si>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</si>
  <si>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</si>
  <si>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</si>
  <si>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</si>
  <si>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</si>
  <si>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</si>
  <si>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</si>
  <si>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</si>
  <si>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</si>
  <si>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</si>
  <si>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</si>
  <si>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</si>
  <si>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</si>
  <si>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</si>
  <si>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</si>
  <si>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</si>
  <si>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</si>
  <si>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</si>
  <si>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</si>
  <si>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</si>
  <si>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</si>
  <si>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</si>
  <si>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</si>
  <si>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</si>
  <si>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</si>
  <si>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</si>
  <si>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</si>
  <si>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</si>
  <si>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</si>
  <si>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</si>
  <si>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</si>
  <si>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</si>
  <si>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</si>
  <si>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</si>
  <si>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</si>
  <si>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</si>
  <si>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</si>
  <si>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</si>
  <si>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</si>
  <si>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</si>
  <si>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</si>
  <si>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</si>
  <si>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</si>
  <si>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</si>
  <si>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</si>
  <si>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</si>
  <si>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</si>
  <si>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</si>
  <si>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</si>
  <si>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</si>
  <si>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</si>
  <si>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</si>
  <si>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</si>
  <si>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</si>
  <si>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</si>
  <si>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</si>
  <si>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</si>
  <si>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</si>
  <si>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</si>
  <si>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</si>
  <si>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</si>
  <si>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</si>
  <si>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</si>
  <si>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</si>
  <si>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</si>
  <si>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</si>
  <si>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</si>
  <si>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</si>
  <si>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</si>
  <si>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</si>
  <si>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</si>
  <si>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</si>
  <si>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</si>
  <si>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</si>
  <si>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</si>
  <si>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</si>
  <si>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</si>
  <si>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</si>
  <si>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</si>
  <si>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</si>
  <si>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</si>
  <si>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</si>
  <si>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</si>
  <si>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</si>
  <si>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</si>
  <si>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</si>
  <si>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</si>
  <si>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</si>
  <si>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</si>
  <si>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</si>
  <si>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</si>
  <si>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</si>
  <si>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</si>
  <si>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</si>
  <si>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</si>
  <si>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</si>
  <si>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</si>
  <si>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</si>
  <si>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</si>
  <si>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</si>
  <si>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</si>
  <si>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</si>
  <si>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</si>
  <si>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</si>
  <si>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</si>
  <si>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</si>
  <si>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</si>
  <si>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</si>
  <si>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</si>
  <si>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</si>
  <si>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</si>
  <si>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</si>
  <si>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</si>
  <si>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</si>
  <si>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</si>
  <si>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</si>
  <si>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</si>
  <si>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</si>
  <si>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</si>
  <si>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</si>
  <si>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</si>
  <si>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</si>
  <si>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</si>
  <si>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</si>
  <si>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</si>
  <si>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</si>
  <si>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</si>
  <si>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</si>
  <si>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</si>
  <si>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</si>
  <si>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</si>
  <si>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</si>
  <si>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</si>
  <si>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</si>
  <si>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</si>
  <si>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</si>
  <si>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</si>
  <si>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</si>
  <si>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</si>
  <si>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</si>
  <si>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</si>
  <si>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</si>
  <si>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</si>
  <si>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</si>
  <si>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</si>
  <si>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</si>
  <si>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</si>
  <si>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</si>
  <si>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</si>
  <si>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</si>
  <si>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</si>
  <si>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</si>
  <si>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</si>
  <si>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</si>
  <si>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</si>
  <si>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</si>
  <si>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</si>
  <si>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</si>
  <si>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</si>
  <si>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</si>
  <si>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</si>
  <si>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</si>
  <si>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</si>
  <si>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</si>
  <si>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</si>
  <si>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</si>
  <si>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</si>
  <si>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</si>
  <si>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</si>
  <si>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</si>
  <si>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</si>
  <si>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</si>
  <si>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</si>
  <si>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</si>
  <si>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</si>
  <si>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</si>
  <si>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</si>
  <si>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</si>
  <si>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</si>
  <si>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</si>
  <si>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</si>
  <si>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</si>
  <si>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</si>
  <si>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</si>
  <si>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</si>
  <si>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</si>
  <si>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</si>
  <si>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</si>
  <si>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</si>
  <si>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</si>
  <si>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</si>
  <si>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</si>
  <si>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</si>
  <si>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</si>
  <si>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</si>
  <si>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</si>
  <si>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</si>
  <si>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</si>
  <si>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</si>
  <si>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Grantham</t>
  </si>
  <si>
    <t>12/08</t>
  </si>
  <si>
    <t>01/29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</si>
</sst>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211</v>
      </c>
      <c r="C2" s="21">
        <v>211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145393+140</f>
        <v>145533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>
        <f>95+92230</f>
        <v>92325</v>
      </c>
      <c r="J10" s="67">
        <f>SUM(I439)</f>
        <v>320233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64000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1218</v>
      </c>
      <c r="H13" s="18">
        <f>11447+21582</f>
        <v>33029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19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145533</v>
      </c>
      <c r="G19" s="41">
        <f>SUM(G9:G18)</f>
        <v>1237</v>
      </c>
      <c r="H19" s="41">
        <f>SUM(H9:H18)</f>
        <v>33029</v>
      </c>
      <c r="I19" s="41">
        <f>SUM(I9:I18)</f>
        <v>92325</v>
      </c>
      <c r="J19" s="41">
        <f>SUM(J9:J18)</f>
        <v>384233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5649+13360-31817+64000</f>
        <v>51192</v>
      </c>
      <c r="G22" s="18">
        <v>-5734</v>
      </c>
      <c r="H22" s="18">
        <f>-15801</f>
        <v>-15801</v>
      </c>
      <c r="I22" s="18">
        <v>31817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903+919+3150-885+1514+3354+935-2469-366+420+462+5649+9</f>
        <v>13595</v>
      </c>
      <c r="G24" s="18">
        <v>19</v>
      </c>
      <c r="H24" s="18">
        <v>21582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2476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471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65258</v>
      </c>
      <c r="G32" s="41">
        <f>SUM(G22:G31)</f>
        <v>-5715</v>
      </c>
      <c r="H32" s="41">
        <f>SUM(H22:H31)</f>
        <v>8257</v>
      </c>
      <c r="I32" s="41">
        <f>SUM(I22:I31)</f>
        <v>31817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f>9143-2191</f>
        <v>6952</v>
      </c>
      <c r="H47" s="18">
        <f>501+24271</f>
        <v>24772</v>
      </c>
      <c r="I47" s="18">
        <f>96+60412</f>
        <v>60508</v>
      </c>
      <c r="J47" s="13">
        <f>SUM(I458)</f>
        <v>384233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14000</v>
      </c>
      <c r="G48" s="18">
        <v>0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208045-45797-14000-64000-290-589-471-16155-468</f>
        <v>66275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80275</v>
      </c>
      <c r="G50" s="41">
        <f>SUM(G35:G49)</f>
        <v>6952</v>
      </c>
      <c r="H50" s="41">
        <f>SUM(H35:H49)</f>
        <v>24772</v>
      </c>
      <c r="I50" s="41">
        <f>SUM(I35:I49)</f>
        <v>60508</v>
      </c>
      <c r="J50" s="41">
        <f>SUM(J35:J49)</f>
        <v>384233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145533</v>
      </c>
      <c r="G51" s="41">
        <f>G50+G32</f>
        <v>1237</v>
      </c>
      <c r="H51" s="41">
        <f>H50+H32</f>
        <v>33029</v>
      </c>
      <c r="I51" s="41">
        <f>I50+I32</f>
        <v>92325</v>
      </c>
      <c r="J51" s="41">
        <f>J50+J32</f>
        <v>384233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5496756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5496756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709</v>
      </c>
      <c r="G95" s="18"/>
      <c r="H95" s="18"/>
      <c r="I95" s="18">
        <v>96</v>
      </c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76038+408</f>
        <v>76446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2623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4109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7441</v>
      </c>
      <c r="G110" s="41">
        <f>SUM(G95:G109)</f>
        <v>76446</v>
      </c>
      <c r="H110" s="41">
        <f>SUM(H95:H109)</f>
        <v>0</v>
      </c>
      <c r="I110" s="41">
        <f>SUM(I95:I109)</f>
        <v>96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5504197</v>
      </c>
      <c r="G111" s="41">
        <f>G59+G110</f>
        <v>76446</v>
      </c>
      <c r="H111" s="41">
        <f>H59+H78+H93+H110</f>
        <v>0</v>
      </c>
      <c r="I111" s="41">
        <f>I59+I110</f>
        <v>96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11765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1252997</f>
        <v>1252997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1264772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107514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848</f>
        <v>848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f>2500+3477+204</f>
        <v>6181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107514</v>
      </c>
      <c r="G135" s="41">
        <f>SUM(G122:G134)</f>
        <v>848</v>
      </c>
      <c r="H135" s="41">
        <f>SUM(H122:H134)</f>
        <v>6181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1372286</v>
      </c>
      <c r="G139" s="41">
        <f>G120+SUM(G135:G136)</f>
        <v>848</v>
      </c>
      <c r="H139" s="41">
        <f>H120+SUM(H135:H138)</f>
        <v>6181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f>2113+24553+21582</f>
        <v>48248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25367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25367</v>
      </c>
      <c r="G146" s="41">
        <f>SUM(G144:G145)</f>
        <v>0</v>
      </c>
      <c r="H146" s="41">
        <f>SUM(H144:H145)</f>
        <v>48248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1350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14868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51963</f>
        <v>51963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17762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17762</v>
      </c>
      <c r="G161" s="41">
        <f>SUM(G149:G160)</f>
        <v>14868</v>
      </c>
      <c r="H161" s="41">
        <f>SUM(H149:H160)</f>
        <v>53313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43129</v>
      </c>
      <c r="G168" s="41">
        <f>G146+G161+SUM(G162:G167)</f>
        <v>14868</v>
      </c>
      <c r="H168" s="41">
        <f>H146+H161+SUM(H162:H167)</f>
        <v>101561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64000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64000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64000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6919612</v>
      </c>
      <c r="G192" s="47">
        <f>G111+G139+G168+G191</f>
        <v>92162</v>
      </c>
      <c r="H192" s="47">
        <f>H111+H139+H168+H191</f>
        <v>107742</v>
      </c>
      <c r="I192" s="47">
        <f>I111+I139+I168+I191</f>
        <v>96</v>
      </c>
      <c r="J192" s="47">
        <f>J111+J139+J191</f>
        <v>64000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1045127+27390+5603</f>
        <v>1078120</v>
      </c>
      <c r="G196" s="18">
        <f>257926+17282+5679+66505+15553+109630+1654+2100</f>
        <v>476329</v>
      </c>
      <c r="H196" s="18">
        <f>6504+2338+18692+100</f>
        <v>27634</v>
      </c>
      <c r="I196" s="18">
        <f>22795+5555+16292+852+390</f>
        <v>45884</v>
      </c>
      <c r="J196" s="18">
        <f>6232+19153</f>
        <v>25385</v>
      </c>
      <c r="K196" s="18"/>
      <c r="L196" s="19">
        <f>SUM(F196:K196)</f>
        <v>1653352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94172+10950+171913+17886+1621</f>
        <v>296542</v>
      </c>
      <c r="G197" s="18">
        <f>173113+13915+1539+19731+4614+12327+826+852</f>
        <v>226917</v>
      </c>
      <c r="H197" s="18">
        <f>13262+4131+2772+84294+1287-5600-29549+4510</f>
        <v>75107</v>
      </c>
      <c r="I197" s="18">
        <f>1750+395</f>
        <v>2145</v>
      </c>
      <c r="J197" s="18"/>
      <c r="K197" s="18"/>
      <c r="L197" s="19">
        <f>SUM(F197:K197)</f>
        <v>600711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21682+48661+14461</f>
        <v>84804</v>
      </c>
      <c r="G201" s="18">
        <f>1344+314+5432+956+243+3345+782+5499+897+210</f>
        <v>19022</v>
      </c>
      <c r="H201" s="18">
        <f>54+150+18370+34950+31003+285</f>
        <v>84812</v>
      </c>
      <c r="I201" s="18">
        <f>1366+56+472+351</f>
        <v>2245</v>
      </c>
      <c r="J201" s="18"/>
      <c r="K201" s="18">
        <f>35</f>
        <v>35</v>
      </c>
      <c r="L201" s="19">
        <f t="shared" ref="L201:L207" si="0">SUM(F201:K201)</f>
        <v>190918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45868</f>
        <v>45868</v>
      </c>
      <c r="G202" s="18">
        <f>9638+2222+21731+1434+275+2685+628+6022+185</f>
        <v>44820</v>
      </c>
      <c r="H202" s="18">
        <f>5500+1072+695+619+364+5582+15022</f>
        <v>28854</v>
      </c>
      <c r="I202" s="18">
        <f>138+652+6274+417+1815</f>
        <v>9296</v>
      </c>
      <c r="J202" s="18">
        <f>3900+1025</f>
        <v>4925</v>
      </c>
      <c r="K202" s="18"/>
      <c r="L202" s="19">
        <f t="shared" si="0"/>
        <v>133763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111155+11731+2084</f>
        <v>124970</v>
      </c>
      <c r="G203" s="18">
        <f>230+54+20+21731+1434+178+7685+1797+4680+490</f>
        <v>38299</v>
      </c>
      <c r="H203" s="18">
        <f>8289+8864+3612+8516+475+5603+4058+4387+187+1090+2292+1181</f>
        <v>48554</v>
      </c>
      <c r="I203" s="18">
        <f>2250+6190</f>
        <v>8440</v>
      </c>
      <c r="J203" s="18">
        <v>327</v>
      </c>
      <c r="K203" s="18">
        <f>4267+2965</f>
        <v>7232</v>
      </c>
      <c r="L203" s="19">
        <f t="shared" si="0"/>
        <v>227822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128598+38483</f>
        <v>167081</v>
      </c>
      <c r="G204" s="18">
        <f>43262+2656+740+7834+1832+3382+9912+1500+538</f>
        <v>71656</v>
      </c>
      <c r="H204" s="18">
        <f>3159+8100+4900+2766</f>
        <v>18925</v>
      </c>
      <c r="I204" s="18">
        <f>1954+3390+2900</f>
        <v>8244</v>
      </c>
      <c r="J204" s="18"/>
      <c r="K204" s="18">
        <f>485</f>
        <v>485</v>
      </c>
      <c r="L204" s="19">
        <f t="shared" si="0"/>
        <v>266391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77050+55421+368</f>
        <v>132839</v>
      </c>
      <c r="G206" s="18">
        <f>24146+1785+757+8289+1939+12048+2772</f>
        <v>51736</v>
      </c>
      <c r="H206" s="18">
        <f>4995+44307+1876+2943+9890</f>
        <v>64011</v>
      </c>
      <c r="I206" s="18">
        <f>25017+36921+45447+861</f>
        <v>108246</v>
      </c>
      <c r="J206" s="18">
        <f>4093</f>
        <v>4093</v>
      </c>
      <c r="K206" s="18"/>
      <c r="L206" s="19">
        <f t="shared" si="0"/>
        <v>360925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5600+29549+92273</f>
        <v>127422</v>
      </c>
      <c r="I207" s="18"/>
      <c r="J207" s="18"/>
      <c r="K207" s="18"/>
      <c r="L207" s="19">
        <f t="shared" si="0"/>
        <v>127422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1930224</v>
      </c>
      <c r="G210" s="41">
        <f t="shared" si="1"/>
        <v>928779</v>
      </c>
      <c r="H210" s="41">
        <f t="shared" si="1"/>
        <v>475319</v>
      </c>
      <c r="I210" s="41">
        <f t="shared" si="1"/>
        <v>184500</v>
      </c>
      <c r="J210" s="41">
        <f t="shared" si="1"/>
        <v>34730</v>
      </c>
      <c r="K210" s="41">
        <f t="shared" si="1"/>
        <v>7752</v>
      </c>
      <c r="L210" s="41">
        <f t="shared" si="1"/>
        <v>3561304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f>995800</f>
        <v>995800</v>
      </c>
      <c r="I214" s="18"/>
      <c r="J214" s="18"/>
      <c r="K214" s="18"/>
      <c r="L214" s="19">
        <f>SUM(F214:K214)</f>
        <v>995800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21246</v>
      </c>
      <c r="I225" s="18"/>
      <c r="J225" s="18"/>
      <c r="K225" s="18"/>
      <c r="L225" s="19">
        <f t="shared" si="2"/>
        <v>21246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1017046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1017046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1670715+11645</f>
        <v>1682360</v>
      </c>
      <c r="I232" s="18"/>
      <c r="J232" s="18"/>
      <c r="K232" s="18"/>
      <c r="L232" s="19">
        <f>SUM(F232:K232)</f>
        <v>1682360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42500</v>
      </c>
      <c r="I243" s="18"/>
      <c r="J243" s="18"/>
      <c r="K243" s="18"/>
      <c r="L243" s="19">
        <f t="shared" si="4"/>
        <v>42500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1724860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1724860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1930224</v>
      </c>
      <c r="G256" s="41">
        <f t="shared" si="8"/>
        <v>928779</v>
      </c>
      <c r="H256" s="41">
        <f t="shared" si="8"/>
        <v>3217225</v>
      </c>
      <c r="I256" s="41">
        <f t="shared" si="8"/>
        <v>184500</v>
      </c>
      <c r="J256" s="41">
        <f t="shared" si="8"/>
        <v>34730</v>
      </c>
      <c r="K256" s="41">
        <f t="shared" si="8"/>
        <v>7752</v>
      </c>
      <c r="L256" s="41">
        <f t="shared" si="8"/>
        <v>6303210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355000</v>
      </c>
      <c r="L259" s="19">
        <f>SUM(F259:K259)</f>
        <v>355000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323644</v>
      </c>
      <c r="L260" s="19">
        <f>SUM(F260:K260)</f>
        <v>323644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64000</v>
      </c>
      <c r="L265" s="19">
        <f t="shared" si="9"/>
        <v>64000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742644</v>
      </c>
      <c r="L269" s="41">
        <f t="shared" si="9"/>
        <v>742644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1930224</v>
      </c>
      <c r="G270" s="42">
        <f t="shared" si="11"/>
        <v>928779</v>
      </c>
      <c r="H270" s="42">
        <f t="shared" si="11"/>
        <v>3217225</v>
      </c>
      <c r="I270" s="42">
        <f t="shared" si="11"/>
        <v>184500</v>
      </c>
      <c r="J270" s="42">
        <f t="shared" si="11"/>
        <v>34730</v>
      </c>
      <c r="K270" s="42">
        <f t="shared" si="11"/>
        <v>750396</v>
      </c>
      <c r="L270" s="42">
        <f t="shared" si="11"/>
        <v>7045854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1800</v>
      </c>
      <c r="G275" s="18"/>
      <c r="H275" s="18">
        <f>9716+100+1400+2113+3737</f>
        <v>17066</v>
      </c>
      <c r="I275" s="18">
        <f>1302+2177+204</f>
        <v>3683</v>
      </c>
      <c r="J275" s="18">
        <f>31955+1375+1461+21581</f>
        <v>56372</v>
      </c>
      <c r="K275" s="18"/>
      <c r="L275" s="19">
        <f>SUM(F275:K275)</f>
        <v>78921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125+1540</f>
        <v>1665</v>
      </c>
      <c r="G276" s="18">
        <f>95+22</f>
        <v>117</v>
      </c>
      <c r="H276" s="18">
        <f>1663+400</f>
        <v>2063</v>
      </c>
      <c r="I276" s="18">
        <f>704</f>
        <v>704</v>
      </c>
      <c r="J276" s="18"/>
      <c r="K276" s="18"/>
      <c r="L276" s="19">
        <f>SUM(F276:K276)</f>
        <v>4549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3465</v>
      </c>
      <c r="G289" s="42">
        <f t="shared" si="13"/>
        <v>117</v>
      </c>
      <c r="H289" s="42">
        <f t="shared" si="13"/>
        <v>19129</v>
      </c>
      <c r="I289" s="42">
        <f t="shared" si="13"/>
        <v>4387</v>
      </c>
      <c r="J289" s="42">
        <f t="shared" si="13"/>
        <v>56372</v>
      </c>
      <c r="K289" s="42">
        <f t="shared" si="13"/>
        <v>0</v>
      </c>
      <c r="L289" s="41">
        <f t="shared" si="13"/>
        <v>83470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3465</v>
      </c>
      <c r="G337" s="41">
        <f t="shared" si="20"/>
        <v>117</v>
      </c>
      <c r="H337" s="41">
        <f t="shared" si="20"/>
        <v>19129</v>
      </c>
      <c r="I337" s="41">
        <f t="shared" si="20"/>
        <v>4387</v>
      </c>
      <c r="J337" s="41">
        <f t="shared" si="20"/>
        <v>56372</v>
      </c>
      <c r="K337" s="41">
        <f t="shared" si="20"/>
        <v>0</v>
      </c>
      <c r="L337" s="41">
        <f t="shared" si="20"/>
        <v>83470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3465</v>
      </c>
      <c r="G351" s="41">
        <f>G337</f>
        <v>117</v>
      </c>
      <c r="H351" s="41">
        <f>H337</f>
        <v>19129</v>
      </c>
      <c r="I351" s="41">
        <f>I337</f>
        <v>4387</v>
      </c>
      <c r="J351" s="41">
        <f>J337</f>
        <v>56372</v>
      </c>
      <c r="K351" s="47">
        <f>K337+K350</f>
        <v>0</v>
      </c>
      <c r="L351" s="41">
        <f>L337+L350</f>
        <v>83470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33915</f>
        <v>33915</v>
      </c>
      <c r="G357" s="18">
        <f>21731+1434+123+2108+493+684</f>
        <v>26573</v>
      </c>
      <c r="H357" s="18"/>
      <c r="I357" s="18">
        <f>1857+31535+472</f>
        <v>33864</v>
      </c>
      <c r="J357" s="18"/>
      <c r="K357" s="18"/>
      <c r="L357" s="13">
        <f>SUM(F357:K357)</f>
        <v>94352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33915</v>
      </c>
      <c r="G361" s="47">
        <f t="shared" si="22"/>
        <v>26573</v>
      </c>
      <c r="H361" s="47">
        <f t="shared" si="22"/>
        <v>0</v>
      </c>
      <c r="I361" s="47">
        <f t="shared" si="22"/>
        <v>33864</v>
      </c>
      <c r="J361" s="47">
        <f t="shared" si="22"/>
        <v>0</v>
      </c>
      <c r="K361" s="47">
        <f t="shared" si="22"/>
        <v>0</v>
      </c>
      <c r="L361" s="47">
        <f t="shared" si="22"/>
        <v>94352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31535</v>
      </c>
      <c r="G366" s="18"/>
      <c r="H366" s="18"/>
      <c r="I366" s="56">
        <f>SUM(F366:H366)</f>
        <v>31535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1857+472</f>
        <v>2329</v>
      </c>
      <c r="G367" s="63"/>
      <c r="H367" s="63"/>
      <c r="I367" s="56">
        <f>SUM(F367:H367)</f>
        <v>2329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33864</v>
      </c>
      <c r="G368" s="47">
        <f>SUM(G366:G367)</f>
        <v>0</v>
      </c>
      <c r="H368" s="47">
        <f>SUM(H366:H367)</f>
        <v>0</v>
      </c>
      <c r="I368" s="47">
        <f>SUM(I366:I367)</f>
        <v>33864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64000</v>
      </c>
      <c r="H396" s="18"/>
      <c r="I396" s="18"/>
      <c r="J396" s="24" t="s">
        <v>289</v>
      </c>
      <c r="K396" s="24" t="s">
        <v>289</v>
      </c>
      <c r="L396" s="56">
        <f t="shared" si="26"/>
        <v>64000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64000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64000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64000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64000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>
        <v>4510</v>
      </c>
      <c r="I422" s="18"/>
      <c r="J422" s="18"/>
      <c r="K422" s="18"/>
      <c r="L422" s="56">
        <f t="shared" si="29"/>
        <v>4510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>
        <v>11645</v>
      </c>
      <c r="I423" s="18"/>
      <c r="J423" s="18"/>
      <c r="K423" s="18"/>
      <c r="L423" s="56">
        <f t="shared" si="29"/>
        <v>11645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16155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16155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16155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16155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336388-4510-11645</f>
        <v>320233</v>
      </c>
      <c r="G439" s="18"/>
      <c r="H439" s="18"/>
      <c r="I439" s="56">
        <f t="shared" si="33"/>
        <v>320233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64000</v>
      </c>
      <c r="G440" s="18"/>
      <c r="H440" s="18"/>
      <c r="I440" s="56">
        <f t="shared" si="33"/>
        <v>64000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384233</v>
      </c>
      <c r="G445" s="13">
        <f>SUM(G438:G444)</f>
        <v>0</v>
      </c>
      <c r="H445" s="13">
        <f>SUM(H438:H444)</f>
        <v>0</v>
      </c>
      <c r="I445" s="13">
        <f>SUM(I438:I444)</f>
        <v>384233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336388-4510+64000-11645</f>
        <v>384233</v>
      </c>
      <c r="G458" s="18"/>
      <c r="H458" s="18"/>
      <c r="I458" s="56">
        <f t="shared" si="34"/>
        <v>384233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384233</v>
      </c>
      <c r="G459" s="83">
        <f>SUM(G453:G458)</f>
        <v>0</v>
      </c>
      <c r="H459" s="83">
        <f>SUM(H453:H458)</f>
        <v>0</v>
      </c>
      <c r="I459" s="83">
        <f>SUM(I453:I458)</f>
        <v>384233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384233</v>
      </c>
      <c r="G460" s="42">
        <f>G451+G459</f>
        <v>0</v>
      </c>
      <c r="H460" s="42">
        <f>H451+H459</f>
        <v>0</v>
      </c>
      <c r="I460" s="42">
        <f>I451+I459</f>
        <v>384233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191260</v>
      </c>
      <c r="G464" s="18">
        <v>8797</v>
      </c>
      <c r="H464" s="18">
        <v>500</v>
      </c>
      <c r="I464" s="18">
        <v>57042</v>
      </c>
      <c r="J464" s="18">
        <v>336388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6919612</v>
      </c>
      <c r="G467" s="18">
        <f>G192</f>
        <v>92162</v>
      </c>
      <c r="H467" s="18">
        <f>H192</f>
        <v>107742</v>
      </c>
      <c r="I467" s="18">
        <f>I192</f>
        <v>96</v>
      </c>
      <c r="J467" s="18">
        <f>J192</f>
        <v>64000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208045-191260+290-1350-468</f>
        <v>15257</v>
      </c>
      <c r="G468" s="18">
        <v>345</v>
      </c>
      <c r="H468" s="18"/>
      <c r="I468" s="18">
        <v>3370</v>
      </c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6934869</v>
      </c>
      <c r="G469" s="53">
        <f>SUM(G467:G468)</f>
        <v>92507</v>
      </c>
      <c r="H469" s="53">
        <f>SUM(H467:H468)</f>
        <v>107742</v>
      </c>
      <c r="I469" s="53">
        <f>SUM(I467:I468)</f>
        <v>3466</v>
      </c>
      <c r="J469" s="53">
        <f>SUM(J467:J468)</f>
        <v>64000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7045854</v>
      </c>
      <c r="G471" s="18">
        <f>L361</f>
        <v>94352</v>
      </c>
      <c r="H471" s="18">
        <f>L351</f>
        <v>83470</v>
      </c>
      <c r="I471" s="18"/>
      <c r="J471" s="18">
        <f>L433</f>
        <v>16155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7045854</v>
      </c>
      <c r="G473" s="53">
        <f>SUM(G471:G472)</f>
        <v>94352</v>
      </c>
      <c r="H473" s="53">
        <f>SUM(H471:H472)</f>
        <v>83470</v>
      </c>
      <c r="I473" s="53">
        <f>SUM(I471:I472)</f>
        <v>0</v>
      </c>
      <c r="J473" s="53">
        <f>SUM(J471:J472)</f>
        <v>16155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80275</v>
      </c>
      <c r="G475" s="53">
        <f>(G464+G469)- G473</f>
        <v>6952</v>
      </c>
      <c r="H475" s="53">
        <f>(H464+H469)- H473</f>
        <v>24772</v>
      </c>
      <c r="I475" s="53">
        <f>(I464+I469)- I473</f>
        <v>60508</v>
      </c>
      <c r="J475" s="53">
        <f>(J464+J469)- J473</f>
        <v>384233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7150000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5.0999999999999996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6385000</v>
      </c>
      <c r="G494" s="18"/>
      <c r="H494" s="18"/>
      <c r="I494" s="18"/>
      <c r="J494" s="18"/>
      <c r="K494" s="53">
        <f>SUM(F494:J494)</f>
        <v>6385000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355000</v>
      </c>
      <c r="G496" s="18"/>
      <c r="H496" s="18"/>
      <c r="I496" s="18"/>
      <c r="J496" s="18"/>
      <c r="K496" s="53">
        <f t="shared" si="35"/>
        <v>355000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6030000</v>
      </c>
      <c r="G497" s="205"/>
      <c r="H497" s="205"/>
      <c r="I497" s="205"/>
      <c r="J497" s="205"/>
      <c r="K497" s="206">
        <f t="shared" si="35"/>
        <v>6030000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3939411-204391-177732-169809-169809-161822-161822</f>
        <v>2894026</v>
      </c>
      <c r="G498" s="18"/>
      <c r="H498" s="18"/>
      <c r="I498" s="18"/>
      <c r="J498" s="18"/>
      <c r="K498" s="53">
        <f t="shared" si="35"/>
        <v>2894026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8924026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8924026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355000</v>
      </c>
      <c r="G500" s="205"/>
      <c r="H500" s="205"/>
      <c r="I500" s="205"/>
      <c r="J500" s="205"/>
      <c r="K500" s="206">
        <f t="shared" si="35"/>
        <v>355000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153834+153835</f>
        <v>307669</v>
      </c>
      <c r="G501" s="18"/>
      <c r="H501" s="18"/>
      <c r="I501" s="18"/>
      <c r="J501" s="18"/>
      <c r="K501" s="53">
        <f t="shared" si="35"/>
        <v>307669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662669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662669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 t="shared" ref="F520:K520" si="36">F197+F276</f>
        <v>298207</v>
      </c>
      <c r="G520" s="18">
        <f t="shared" si="36"/>
        <v>227034</v>
      </c>
      <c r="H520" s="18">
        <f>H197+H276-26000</f>
        <v>51170</v>
      </c>
      <c r="I520" s="18">
        <f t="shared" si="36"/>
        <v>2849</v>
      </c>
      <c r="J520" s="18">
        <f t="shared" si="36"/>
        <v>0</v>
      </c>
      <c r="K520" s="18">
        <f t="shared" si="36"/>
        <v>0</v>
      </c>
      <c r="L520" s="88">
        <f>SUM(F520:K520)</f>
        <v>579260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 t="shared" ref="F521:K521" si="37">F215+F295</f>
        <v>0</v>
      </c>
      <c r="G521" s="18">
        <f t="shared" si="37"/>
        <v>0</v>
      </c>
      <c r="H521" s="18">
        <f t="shared" si="37"/>
        <v>0</v>
      </c>
      <c r="I521" s="18">
        <f t="shared" si="37"/>
        <v>0</v>
      </c>
      <c r="J521" s="18">
        <f t="shared" si="37"/>
        <v>0</v>
      </c>
      <c r="K521" s="18">
        <f t="shared" si="37"/>
        <v>0</v>
      </c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 t="shared" ref="F522:K522" si="38">F233+F314</f>
        <v>0</v>
      </c>
      <c r="G522" s="18">
        <f t="shared" si="38"/>
        <v>0</v>
      </c>
      <c r="H522" s="18">
        <f t="shared" si="38"/>
        <v>0</v>
      </c>
      <c r="I522" s="18">
        <f t="shared" si="38"/>
        <v>0</v>
      </c>
      <c r="J522" s="18">
        <f t="shared" si="38"/>
        <v>0</v>
      </c>
      <c r="K522" s="18">
        <f t="shared" si="38"/>
        <v>0</v>
      </c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298207</v>
      </c>
      <c r="G523" s="108">
        <f t="shared" ref="G523:L523" si="39">SUM(G520:G522)</f>
        <v>227034</v>
      </c>
      <c r="H523" s="108">
        <f t="shared" si="39"/>
        <v>51170</v>
      </c>
      <c r="I523" s="108">
        <f t="shared" si="39"/>
        <v>2849</v>
      </c>
      <c r="J523" s="108">
        <f t="shared" si="39"/>
        <v>0</v>
      </c>
      <c r="K523" s="108">
        <f t="shared" si="39"/>
        <v>0</v>
      </c>
      <c r="L523" s="89">
        <f t="shared" si="39"/>
        <v>579260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20000+6000</f>
        <v>26000</v>
      </c>
      <c r="I525" s="18"/>
      <c r="J525" s="18"/>
      <c r="K525" s="18"/>
      <c r="L525" s="88">
        <f>SUM(F525:K525)</f>
        <v>26000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40">SUM(G525:G527)</f>
        <v>0</v>
      </c>
      <c r="H528" s="89">
        <f t="shared" si="40"/>
        <v>26000</v>
      </c>
      <c r="I528" s="89">
        <f t="shared" si="40"/>
        <v>0</v>
      </c>
      <c r="J528" s="89">
        <f t="shared" si="40"/>
        <v>0</v>
      </c>
      <c r="K528" s="89">
        <f t="shared" si="40"/>
        <v>0</v>
      </c>
      <c r="L528" s="89">
        <f t="shared" si="40"/>
        <v>26000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38483</v>
      </c>
      <c r="G530" s="18">
        <v>2980</v>
      </c>
      <c r="H530" s="18">
        <v>500</v>
      </c>
      <c r="I530" s="18">
        <v>500</v>
      </c>
      <c r="J530" s="18"/>
      <c r="K530" s="18"/>
      <c r="L530" s="88">
        <f>SUM(F530:K530)</f>
        <v>42463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38483</v>
      </c>
      <c r="G533" s="89">
        <f t="shared" ref="G533:L533" si="41">SUM(G530:G532)</f>
        <v>2980</v>
      </c>
      <c r="H533" s="89">
        <f t="shared" si="41"/>
        <v>500</v>
      </c>
      <c r="I533" s="89">
        <f t="shared" si="41"/>
        <v>500</v>
      </c>
      <c r="J533" s="89">
        <f t="shared" si="41"/>
        <v>0</v>
      </c>
      <c r="K533" s="89">
        <f t="shared" si="41"/>
        <v>0</v>
      </c>
      <c r="L533" s="89">
        <f t="shared" si="41"/>
        <v>42463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0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5600+29549</f>
        <v>35149</v>
      </c>
      <c r="I540" s="18"/>
      <c r="J540" s="18"/>
      <c r="K540" s="18"/>
      <c r="L540" s="88">
        <f>SUM(F540:K540)</f>
        <v>35149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3">SUM(G540:G542)</f>
        <v>0</v>
      </c>
      <c r="H543" s="194">
        <f t="shared" si="43"/>
        <v>35149</v>
      </c>
      <c r="I543" s="194">
        <f t="shared" si="43"/>
        <v>0</v>
      </c>
      <c r="J543" s="194">
        <f t="shared" si="43"/>
        <v>0</v>
      </c>
      <c r="K543" s="194">
        <f t="shared" si="43"/>
        <v>0</v>
      </c>
      <c r="L543" s="194">
        <f t="shared" si="43"/>
        <v>35149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336690</v>
      </c>
      <c r="G544" s="89">
        <f t="shared" ref="G544:L544" si="44">G523+G528+G533+G538+G543</f>
        <v>230014</v>
      </c>
      <c r="H544" s="89">
        <f t="shared" si="44"/>
        <v>112819</v>
      </c>
      <c r="I544" s="89">
        <f t="shared" si="44"/>
        <v>3349</v>
      </c>
      <c r="J544" s="89">
        <f t="shared" si="44"/>
        <v>0</v>
      </c>
      <c r="K544" s="89">
        <f t="shared" si="44"/>
        <v>0</v>
      </c>
      <c r="L544" s="89">
        <f t="shared" si="44"/>
        <v>682872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579260</v>
      </c>
      <c r="G548" s="87">
        <f>L525</f>
        <v>26000</v>
      </c>
      <c r="H548" s="87">
        <f>L530</f>
        <v>42463</v>
      </c>
      <c r="I548" s="87">
        <f>L535</f>
        <v>0</v>
      </c>
      <c r="J548" s="87">
        <f>L540</f>
        <v>35149</v>
      </c>
      <c r="K548" s="87">
        <f>SUM(F548:J548)</f>
        <v>682872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579260</v>
      </c>
      <c r="G551" s="89">
        <f t="shared" si="45"/>
        <v>26000</v>
      </c>
      <c r="H551" s="89">
        <f t="shared" si="45"/>
        <v>42463</v>
      </c>
      <c r="I551" s="89">
        <f t="shared" si="45"/>
        <v>0</v>
      </c>
      <c r="J551" s="89">
        <f t="shared" si="45"/>
        <v>35149</v>
      </c>
      <c r="K551" s="89">
        <f t="shared" si="45"/>
        <v>682872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7">SUM(F561:F563)</f>
        <v>0</v>
      </c>
      <c r="G564" s="89">
        <f t="shared" si="47"/>
        <v>0</v>
      </c>
      <c r="H564" s="89">
        <f t="shared" si="47"/>
        <v>0</v>
      </c>
      <c r="I564" s="89">
        <f t="shared" si="47"/>
        <v>0</v>
      </c>
      <c r="J564" s="89">
        <f t="shared" si="47"/>
        <v>0</v>
      </c>
      <c r="K564" s="89">
        <f t="shared" si="47"/>
        <v>0</v>
      </c>
      <c r="L564" s="89">
        <f t="shared" si="47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8">SUM(G566:G568)</f>
        <v>0</v>
      </c>
      <c r="H569" s="194">
        <f t="shared" si="48"/>
        <v>0</v>
      </c>
      <c r="I569" s="194">
        <f t="shared" si="48"/>
        <v>0</v>
      </c>
      <c r="J569" s="194">
        <f t="shared" si="48"/>
        <v>0</v>
      </c>
      <c r="K569" s="194">
        <f t="shared" si="48"/>
        <v>0</v>
      </c>
      <c r="L569" s="194">
        <f t="shared" si="48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9">G559+G564+G569</f>
        <v>0</v>
      </c>
      <c r="H570" s="89">
        <f t="shared" si="49"/>
        <v>0</v>
      </c>
      <c r="I570" s="89">
        <f t="shared" si="49"/>
        <v>0</v>
      </c>
      <c r="J570" s="89">
        <f t="shared" si="49"/>
        <v>0</v>
      </c>
      <c r="K570" s="89">
        <f t="shared" si="49"/>
        <v>0</v>
      </c>
      <c r="L570" s="89">
        <f t="shared" si="49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f>H214</f>
        <v>995800</v>
      </c>
      <c r="H574" s="18">
        <f>H232</f>
        <v>1682360</v>
      </c>
      <c r="I574" s="87">
        <f>SUM(F574:H574)</f>
        <v>2678160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53655</f>
        <v>53655</v>
      </c>
      <c r="G581" s="18"/>
      <c r="H581" s="18"/>
      <c r="I581" s="87">
        <f t="shared" si="50"/>
        <v>53655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50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H207-4253-5600-29549</f>
        <v>88020</v>
      </c>
      <c r="I590" s="18">
        <f>H225</f>
        <v>21246</v>
      </c>
      <c r="J590" s="18">
        <f>H243</f>
        <v>42500</v>
      </c>
      <c r="K590" s="104">
        <f t="shared" ref="K590:K596" si="51">SUM(H590:J590)</f>
        <v>151766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5600+29549</f>
        <v>35149</v>
      </c>
      <c r="I591" s="18"/>
      <c r="J591" s="18"/>
      <c r="K591" s="104">
        <f t="shared" si="51"/>
        <v>35149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51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51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4253</v>
      </c>
      <c r="I594" s="18"/>
      <c r="J594" s="18"/>
      <c r="K594" s="104">
        <f t="shared" si="51"/>
        <v>4253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1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127422</v>
      </c>
      <c r="I597" s="108">
        <f>SUM(I590:I596)</f>
        <v>21246</v>
      </c>
      <c r="J597" s="108">
        <f>SUM(J590:J596)</f>
        <v>42500</v>
      </c>
      <c r="K597" s="108">
        <f>SUM(K590:K596)</f>
        <v>191168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91102</v>
      </c>
      <c r="I603" s="18"/>
      <c r="J603" s="18"/>
      <c r="K603" s="104">
        <f>SUM(H603:J603)</f>
        <v>91102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91102</v>
      </c>
      <c r="I604" s="108">
        <f>SUM(I601:I603)</f>
        <v>0</v>
      </c>
      <c r="J604" s="108">
        <f>SUM(J601:J603)</f>
        <v>0</v>
      </c>
      <c r="K604" s="108">
        <f>SUM(K601:K603)</f>
        <v>91102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0</v>
      </c>
      <c r="G613" s="108">
        <f t="shared" si="52"/>
        <v>0</v>
      </c>
      <c r="H613" s="108">
        <f t="shared" si="52"/>
        <v>0</v>
      </c>
      <c r="I613" s="108">
        <f t="shared" si="52"/>
        <v>0</v>
      </c>
      <c r="J613" s="108">
        <f t="shared" si="52"/>
        <v>0</v>
      </c>
      <c r="K613" s="108">
        <f t="shared" si="52"/>
        <v>0</v>
      </c>
      <c r="L613" s="89">
        <f t="shared" si="52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145533</v>
      </c>
      <c r="H616" s="109">
        <f>SUM(F51)</f>
        <v>145533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1237</v>
      </c>
      <c r="H617" s="109">
        <f>SUM(G51)</f>
        <v>1237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33029</v>
      </c>
      <c r="H618" s="109">
        <f>SUM(H51)</f>
        <v>33029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92325</v>
      </c>
      <c r="H619" s="109">
        <f>SUM(I51)</f>
        <v>92325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384233</v>
      </c>
      <c r="H620" s="109">
        <f>SUM(J51)</f>
        <v>384233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80275</v>
      </c>
      <c r="H621" s="109">
        <f>F475</f>
        <v>80275</v>
      </c>
      <c r="I621" s="121" t="s">
        <v>101</v>
      </c>
      <c r="J621" s="109">
        <f t="shared" ref="J621:J654" si="53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6952</v>
      </c>
      <c r="H622" s="109">
        <f>G475</f>
        <v>6952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24772</v>
      </c>
      <c r="H623" s="109">
        <f>H475</f>
        <v>24772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60508</v>
      </c>
      <c r="H624" s="109">
        <f>I475</f>
        <v>60508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384233</v>
      </c>
      <c r="H625" s="109">
        <f>J475</f>
        <v>384233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6919612</v>
      </c>
      <c r="H626" s="104">
        <f>SUM(F467)</f>
        <v>6919612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92162</v>
      </c>
      <c r="H627" s="104">
        <f>SUM(G467)</f>
        <v>92162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107742</v>
      </c>
      <c r="H628" s="104">
        <f>SUM(H467)</f>
        <v>107742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96</v>
      </c>
      <c r="H629" s="104">
        <f>SUM(I467)</f>
        <v>96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64000</v>
      </c>
      <c r="H630" s="104">
        <f>SUM(J467)</f>
        <v>64000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7045854</v>
      </c>
      <c r="H631" s="104">
        <f>SUM(F471)</f>
        <v>7045854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83470</v>
      </c>
      <c r="H632" s="104">
        <f>SUM(H471)</f>
        <v>83470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33864</v>
      </c>
      <c r="H633" s="104">
        <f>I368</f>
        <v>33864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94352</v>
      </c>
      <c r="H634" s="104">
        <f>SUM(G471)</f>
        <v>94352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64000</v>
      </c>
      <c r="H636" s="164">
        <f>SUM(J467)</f>
        <v>64000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16155</v>
      </c>
      <c r="H637" s="164">
        <f>SUM(J471)</f>
        <v>16155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384233</v>
      </c>
      <c r="H638" s="104">
        <f>SUM(F460)</f>
        <v>384233</v>
      </c>
      <c r="I638" s="140" t="s">
        <v>868</v>
      </c>
      <c r="J638" s="109">
        <f t="shared" si="53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3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3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384233</v>
      </c>
      <c r="H641" s="104">
        <f>SUM(I460)</f>
        <v>384233</v>
      </c>
      <c r="I641" s="140" t="s">
        <v>871</v>
      </c>
      <c r="J641" s="109">
        <f t="shared" si="53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64000</v>
      </c>
      <c r="H644" s="104">
        <f>G407</f>
        <v>64000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64000</v>
      </c>
      <c r="H645" s="104">
        <f>L407</f>
        <v>64000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191168</v>
      </c>
      <c r="H646" s="104">
        <f>L207+L225+L243</f>
        <v>191168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91102</v>
      </c>
      <c r="H647" s="104">
        <f>(J256+J337)-(J254+J335)</f>
        <v>91102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127422</v>
      </c>
      <c r="H648" s="104">
        <f>H597</f>
        <v>127422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21246</v>
      </c>
      <c r="H649" s="104">
        <f>I597</f>
        <v>21246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42500</v>
      </c>
      <c r="H650" s="104">
        <f>J597</f>
        <v>42500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64000</v>
      </c>
      <c r="H654" s="104">
        <f>K265+K346</f>
        <v>64000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3739126</v>
      </c>
      <c r="G659" s="19">
        <f>(L228+L308+L358)</f>
        <v>1017046</v>
      </c>
      <c r="H659" s="19">
        <f>(L246+L327+L359)</f>
        <v>1724860</v>
      </c>
      <c r="I659" s="19">
        <f>SUM(F659:H659)</f>
        <v>6481032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76446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76446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127422</v>
      </c>
      <c r="G661" s="19">
        <f>(L225+L305)-(J225+J305)</f>
        <v>21246</v>
      </c>
      <c r="H661" s="19">
        <f>(L243+L324)-(J243+J324)</f>
        <v>42500</v>
      </c>
      <c r="I661" s="19">
        <f>SUM(F661:H661)</f>
        <v>191168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144757</v>
      </c>
      <c r="G662" s="200">
        <f>SUM(G574:G586)+SUM(I601:I603)+L611</f>
        <v>995800</v>
      </c>
      <c r="H662" s="200">
        <f>SUM(H574:H586)+SUM(J601:J603)+L612</f>
        <v>1682360</v>
      </c>
      <c r="I662" s="19">
        <f>SUM(F662:H662)</f>
        <v>2822917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3390501</v>
      </c>
      <c r="G663" s="19">
        <f>G659-SUM(G660:G662)</f>
        <v>0</v>
      </c>
      <c r="H663" s="19">
        <f>H659-SUM(H660:H662)</f>
        <v>0</v>
      </c>
      <c r="I663" s="19">
        <f>I659-SUM(I660:I662)</f>
        <v>3390501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251.48</v>
      </c>
      <c r="G664" s="249"/>
      <c r="H664" s="249"/>
      <c r="I664" s="19">
        <f>SUM(F664:H664)</f>
        <v>251.48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13482.19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13482.19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13482.19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13482.19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Grantham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1079920</v>
      </c>
      <c r="C9" s="230">
        <f>'DOE25'!G196+'DOE25'!G214+'DOE25'!G232+'DOE25'!G275+'DOE25'!G294+'DOE25'!G313</f>
        <v>476329</v>
      </c>
    </row>
    <row r="10" spans="1:3">
      <c r="A10" t="s">
        <v>779</v>
      </c>
      <c r="B10" s="241">
        <f>5602+1045127+1801</f>
        <v>1052530</v>
      </c>
      <c r="C10" s="241">
        <f>476329-275</f>
        <v>476054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>
        <v>27390</v>
      </c>
      <c r="C12" s="241">
        <v>275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1079920</v>
      </c>
      <c r="C13" s="232">
        <f>SUM(C10:C12)</f>
        <v>476329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298207</v>
      </c>
      <c r="C18" s="230">
        <f>'DOE25'!G197+'DOE25'!G215+'DOE25'!G233+'DOE25'!G276+'DOE25'!G295+'DOE25'!G314</f>
        <v>227034</v>
      </c>
    </row>
    <row r="19" spans="1:3">
      <c r="A19" t="s">
        <v>779</v>
      </c>
      <c r="B19" s="241">
        <v>124628</v>
      </c>
      <c r="C19" s="241">
        <v>71790</v>
      </c>
    </row>
    <row r="20" spans="1:3">
      <c r="A20" t="s">
        <v>780</v>
      </c>
      <c r="B20" s="241">
        <f>(298207-296541)+171913</f>
        <v>173579</v>
      </c>
      <c r="C20" s="241">
        <f>227034-71790</f>
        <v>155244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298207</v>
      </c>
      <c r="C22" s="232">
        <f>SUM(C19:C21)</f>
        <v>227034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5" sqref="D5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Grantham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4932223</v>
      </c>
      <c r="D5" s="20">
        <f>SUM('DOE25'!L196:L199)+SUM('DOE25'!L214:L217)+SUM('DOE25'!L232:L235)-F5-G5</f>
        <v>4906838</v>
      </c>
      <c r="E5" s="244"/>
      <c r="F5" s="256">
        <f>SUM('DOE25'!J196:J199)+SUM('DOE25'!J214:J217)+SUM('DOE25'!J232:J235)</f>
        <v>25385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190918</v>
      </c>
      <c r="D6" s="20">
        <f>'DOE25'!L201+'DOE25'!L219+'DOE25'!L237-F6-G6</f>
        <v>190883</v>
      </c>
      <c r="E6" s="244"/>
      <c r="F6" s="256">
        <f>'DOE25'!J201+'DOE25'!J219+'DOE25'!J237</f>
        <v>0</v>
      </c>
      <c r="G6" s="53">
        <f>'DOE25'!K201+'DOE25'!K219+'DOE25'!K237</f>
        <v>35</v>
      </c>
      <c r="H6" s="260"/>
    </row>
    <row r="7" spans="1:9">
      <c r="A7" s="32">
        <v>2200</v>
      </c>
      <c r="B7" t="s">
        <v>834</v>
      </c>
      <c r="C7" s="246">
        <f t="shared" si="0"/>
        <v>133763</v>
      </c>
      <c r="D7" s="20">
        <f>'DOE25'!L202+'DOE25'!L220+'DOE25'!L238-F7-G7</f>
        <v>128838</v>
      </c>
      <c r="E7" s="244"/>
      <c r="F7" s="256">
        <f>'DOE25'!J202+'DOE25'!J220+'DOE25'!J238</f>
        <v>4925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121152</v>
      </c>
      <c r="D8" s="244"/>
      <c r="E8" s="20">
        <f>'DOE25'!L203+'DOE25'!L221+'DOE25'!L239-F8-G8-D9-D11</f>
        <v>113593</v>
      </c>
      <c r="F8" s="256">
        <f>'DOE25'!J203+'DOE25'!J221+'DOE25'!J239</f>
        <v>327</v>
      </c>
      <c r="G8" s="53">
        <f>'DOE25'!K203+'DOE25'!K221+'DOE25'!K239</f>
        <v>7232</v>
      </c>
      <c r="H8" s="260"/>
    </row>
    <row r="9" spans="1:9">
      <c r="A9" s="32">
        <v>2310</v>
      </c>
      <c r="B9" t="s">
        <v>818</v>
      </c>
      <c r="C9" s="246">
        <f t="shared" si="0"/>
        <v>29670</v>
      </c>
      <c r="D9" s="245">
        <v>29670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8864</v>
      </c>
      <c r="D10" s="244"/>
      <c r="E10" s="245">
        <v>8864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77000</v>
      </c>
      <c r="D11" s="245">
        <v>77000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266391</v>
      </c>
      <c r="D12" s="20">
        <f>'DOE25'!L204+'DOE25'!L222+'DOE25'!L240-F12-G12</f>
        <v>265906</v>
      </c>
      <c r="E12" s="244"/>
      <c r="F12" s="256">
        <f>'DOE25'!J204+'DOE25'!J222+'DOE25'!J240</f>
        <v>0</v>
      </c>
      <c r="G12" s="53">
        <f>'DOE25'!K204+'DOE25'!K222+'DOE25'!K240</f>
        <v>485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360925</v>
      </c>
      <c r="D14" s="20">
        <f>'DOE25'!L206+'DOE25'!L224+'DOE25'!L242-F14-G14</f>
        <v>356832</v>
      </c>
      <c r="E14" s="244"/>
      <c r="F14" s="256">
        <f>'DOE25'!J206+'DOE25'!J224+'DOE25'!J242</f>
        <v>4093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191168</v>
      </c>
      <c r="D15" s="20">
        <f>'DOE25'!L207+'DOE25'!L225+'DOE25'!L243-F15-G15</f>
        <v>191168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678644</v>
      </c>
      <c r="D25" s="244"/>
      <c r="E25" s="244"/>
      <c r="F25" s="259"/>
      <c r="G25" s="257"/>
      <c r="H25" s="258">
        <f>'DOE25'!L259+'DOE25'!L260+'DOE25'!L340+'DOE25'!L341</f>
        <v>678644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62817</v>
      </c>
      <c r="D29" s="20">
        <f>'DOE25'!L357+'DOE25'!L358+'DOE25'!L359-'DOE25'!I366-F29-G29</f>
        <v>62817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83470</v>
      </c>
      <c r="D31" s="20">
        <f>'DOE25'!L289+'DOE25'!L308+'DOE25'!L327+'DOE25'!L332+'DOE25'!L333+'DOE25'!L334-F31-G31</f>
        <v>27098</v>
      </c>
      <c r="E31" s="244"/>
      <c r="F31" s="256">
        <f>'DOE25'!J289+'DOE25'!J308+'DOE25'!J327+'DOE25'!J332+'DOE25'!J333+'DOE25'!J334</f>
        <v>56372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6237050</v>
      </c>
      <c r="E33" s="247">
        <f>SUM(E5:E31)</f>
        <v>122457</v>
      </c>
      <c r="F33" s="247">
        <f>SUM(F5:F31)</f>
        <v>91102</v>
      </c>
      <c r="G33" s="247">
        <f>SUM(G5:G31)</f>
        <v>7752</v>
      </c>
      <c r="H33" s="247">
        <f>SUM(H5:H31)</f>
        <v>678644</v>
      </c>
    </row>
    <row r="35" spans="2:8" ht="12" thickBot="1">
      <c r="B35" s="254" t="s">
        <v>847</v>
      </c>
      <c r="D35" s="255">
        <f>E33</f>
        <v>122457</v>
      </c>
      <c r="E35" s="250"/>
    </row>
    <row r="36" spans="2:8" ht="12" thickTop="1">
      <c r="B36" t="s">
        <v>815</v>
      </c>
      <c r="D36" s="20">
        <f>D33</f>
        <v>6237050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Grantham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145533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92325</v>
      </c>
      <c r="G9" s="95">
        <f>'DOE25'!J10</f>
        <v>320233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64000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1218</v>
      </c>
      <c r="E12" s="95">
        <f>'DOE25'!H13</f>
        <v>33029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19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145533</v>
      </c>
      <c r="D18" s="41">
        <f>SUM(D8:D17)</f>
        <v>1237</v>
      </c>
      <c r="E18" s="41">
        <f>SUM(E8:E17)</f>
        <v>33029</v>
      </c>
      <c r="F18" s="41">
        <f>SUM(F8:F17)</f>
        <v>92325</v>
      </c>
      <c r="G18" s="41">
        <f>SUM(G8:G17)</f>
        <v>384233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51192</v>
      </c>
      <c r="D21" s="95">
        <f>'DOE25'!G22</f>
        <v>-5734</v>
      </c>
      <c r="E21" s="95">
        <f>'DOE25'!H22</f>
        <v>-15801</v>
      </c>
      <c r="F21" s="95">
        <f>'DOE25'!I22</f>
        <v>31817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13595</v>
      </c>
      <c r="D23" s="95">
        <f>'DOE25'!G24</f>
        <v>19</v>
      </c>
      <c r="E23" s="95">
        <f>'DOE25'!H24</f>
        <v>21582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2476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471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65258</v>
      </c>
      <c r="D31" s="41">
        <f>SUM(D21:D30)</f>
        <v>-5715</v>
      </c>
      <c r="E31" s="41">
        <f>SUM(E21:E30)</f>
        <v>8257</v>
      </c>
      <c r="F31" s="41">
        <f>SUM(F21:F30)</f>
        <v>31817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6952</v>
      </c>
      <c r="E46" s="95">
        <f>'DOE25'!H47</f>
        <v>24772</v>
      </c>
      <c r="F46" s="95">
        <f>'DOE25'!I47</f>
        <v>60508</v>
      </c>
      <c r="G46" s="95">
        <f>'DOE25'!J47</f>
        <v>384233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14000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66275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80275</v>
      </c>
      <c r="D49" s="41">
        <f>SUM(D34:D48)</f>
        <v>6952</v>
      </c>
      <c r="E49" s="41">
        <f>SUM(E34:E48)</f>
        <v>24772</v>
      </c>
      <c r="F49" s="41">
        <f>SUM(F34:F48)</f>
        <v>60508</v>
      </c>
      <c r="G49" s="41">
        <f>SUM(G34:G48)</f>
        <v>384233</v>
      </c>
      <c r="H49" s="124"/>
      <c r="I49" s="124"/>
    </row>
    <row r="50" spans="1:9" ht="12" thickTop="1">
      <c r="A50" s="38" t="s">
        <v>895</v>
      </c>
      <c r="B50" s="2"/>
      <c r="C50" s="41">
        <f>C49+C31</f>
        <v>145533</v>
      </c>
      <c r="D50" s="41">
        <f>D49+D31</f>
        <v>1237</v>
      </c>
      <c r="E50" s="41">
        <f>E49+E31</f>
        <v>33029</v>
      </c>
      <c r="F50" s="41">
        <f>F49+F31</f>
        <v>92325</v>
      </c>
      <c r="G50" s="41">
        <f>G49+G31</f>
        <v>384233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5496756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709</v>
      </c>
      <c r="D58" s="95">
        <f>'DOE25'!G95</f>
        <v>0</v>
      </c>
      <c r="E58" s="95">
        <f>'DOE25'!H95</f>
        <v>0</v>
      </c>
      <c r="F58" s="95">
        <f>'DOE25'!I95</f>
        <v>96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76446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6732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7441</v>
      </c>
      <c r="D61" s="130">
        <f>SUM(D56:D60)</f>
        <v>76446</v>
      </c>
      <c r="E61" s="130">
        <f>SUM(E56:E60)</f>
        <v>0</v>
      </c>
      <c r="F61" s="130">
        <f>SUM(F56:F60)</f>
        <v>96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5504197</v>
      </c>
      <c r="D62" s="22">
        <f>D55+D61</f>
        <v>76446</v>
      </c>
      <c r="E62" s="22">
        <f>E55+E61</f>
        <v>0</v>
      </c>
      <c r="F62" s="22">
        <f>F55+F61</f>
        <v>96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11765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1252997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1264772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107514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848</v>
      </c>
      <c r="E76" s="95">
        <f>SUM('DOE25'!H130:H134)</f>
        <v>6181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107514</v>
      </c>
      <c r="D77" s="130">
        <f>SUM(D71:D76)</f>
        <v>848</v>
      </c>
      <c r="E77" s="130">
        <f>SUM(E71:E76)</f>
        <v>6181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1372286</v>
      </c>
      <c r="D80" s="130">
        <f>SUM(D78:D79)+D77+D69</f>
        <v>848</v>
      </c>
      <c r="E80" s="130">
        <f>SUM(E78:E79)+E77+E69</f>
        <v>6181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25367</v>
      </c>
      <c r="D84" s="95">
        <f>'DOE25'!G146</f>
        <v>0</v>
      </c>
      <c r="E84" s="95">
        <f>'DOE25'!H146</f>
        <v>48248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17762</v>
      </c>
      <c r="D87" s="95">
        <f>SUM('DOE25'!G152:G160)</f>
        <v>14868</v>
      </c>
      <c r="E87" s="95">
        <f>SUM('DOE25'!H152:H160)</f>
        <v>53313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43129</v>
      </c>
      <c r="D90" s="131">
        <f>SUM(D84:D89)</f>
        <v>14868</v>
      </c>
      <c r="E90" s="131">
        <f>SUM(E84:E89)</f>
        <v>101561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64000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64000</v>
      </c>
    </row>
    <row r="103" spans="1:7" ht="12.75" thickTop="1" thickBot="1">
      <c r="A103" s="33" t="s">
        <v>765</v>
      </c>
      <c r="C103" s="86">
        <f>C62+C80+C90+C102</f>
        <v>6919612</v>
      </c>
      <c r="D103" s="86">
        <f>D62+D80+D90+D102</f>
        <v>92162</v>
      </c>
      <c r="E103" s="86">
        <f>E62+E80+E90+E102</f>
        <v>107742</v>
      </c>
      <c r="F103" s="86">
        <f>F62+F80+F90+F102</f>
        <v>96</v>
      </c>
      <c r="G103" s="86">
        <f>G62+G80+G102</f>
        <v>64000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4331512</v>
      </c>
      <c r="D108" s="24" t="s">
        <v>289</v>
      </c>
      <c r="E108" s="95">
        <f>('DOE25'!L275)+('DOE25'!L294)+('DOE25'!L313)</f>
        <v>78921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600711</v>
      </c>
      <c r="D109" s="24" t="s">
        <v>289</v>
      </c>
      <c r="E109" s="95">
        <f>('DOE25'!L276)+('DOE25'!L295)+('DOE25'!L314)</f>
        <v>4549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4932223</v>
      </c>
      <c r="D114" s="86">
        <f>SUM(D108:D113)</f>
        <v>0</v>
      </c>
      <c r="E114" s="86">
        <f>SUM(E108:E113)</f>
        <v>83470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190918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133763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227822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266391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360925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191168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94352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1370987</v>
      </c>
      <c r="D127" s="86">
        <f>SUM(D117:D126)</f>
        <v>94352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355000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323644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64000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742644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7045854</v>
      </c>
      <c r="D144" s="86">
        <f>(D114+D127+D143)</f>
        <v>94352</v>
      </c>
      <c r="E144" s="86">
        <f>(E114+E127+E143)</f>
        <v>83470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12/08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01/29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7150000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5.0999999999999996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6385000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6385000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355000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355000</v>
      </c>
    </row>
    <row r="158" spans="1:9">
      <c r="A158" s="22" t="s">
        <v>35</v>
      </c>
      <c r="B158" s="137">
        <f>'DOE25'!F497</f>
        <v>6030000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6030000</v>
      </c>
    </row>
    <row r="159" spans="1:9">
      <c r="A159" s="22" t="s">
        <v>36</v>
      </c>
      <c r="B159" s="137">
        <f>'DOE25'!F498</f>
        <v>2894026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2894026</v>
      </c>
    </row>
    <row r="160" spans="1:9">
      <c r="A160" s="22" t="s">
        <v>37</v>
      </c>
      <c r="B160" s="137">
        <f>'DOE25'!F499</f>
        <v>8924026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8924026</v>
      </c>
    </row>
    <row r="161" spans="1:7">
      <c r="A161" s="22" t="s">
        <v>38</v>
      </c>
      <c r="B161" s="137">
        <f>'DOE25'!F500</f>
        <v>355000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355000</v>
      </c>
    </row>
    <row r="162" spans="1:7">
      <c r="A162" s="22" t="s">
        <v>39</v>
      </c>
      <c r="B162" s="137">
        <f>'DOE25'!F501</f>
        <v>307669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307669</v>
      </c>
    </row>
    <row r="163" spans="1:7">
      <c r="A163" s="22" t="s">
        <v>246</v>
      </c>
      <c r="B163" s="137">
        <f>'DOE25'!F502</f>
        <v>662669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662669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Grantham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13482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13482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4410433</v>
      </c>
      <c r="D10" s="182">
        <f>ROUND((C10/$C$28)*100,1)</f>
        <v>65.599999999999994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605260</v>
      </c>
      <c r="D11" s="182">
        <f>ROUND((C11/$C$28)*100,1)</f>
        <v>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190918</v>
      </c>
      <c r="D15" s="182">
        <f t="shared" ref="D15:D27" si="0">ROUND((C15/$C$28)*100,1)</f>
        <v>2.8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133763</v>
      </c>
      <c r="D16" s="182">
        <f t="shared" si="0"/>
        <v>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227822</v>
      </c>
      <c r="D17" s="182">
        <f t="shared" si="0"/>
        <v>3.4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266391</v>
      </c>
      <c r="D18" s="182">
        <f t="shared" si="0"/>
        <v>4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360925</v>
      </c>
      <c r="D20" s="182">
        <f t="shared" si="0"/>
        <v>5.4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191168</v>
      </c>
      <c r="D21" s="182">
        <f t="shared" si="0"/>
        <v>2.8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323644</v>
      </c>
      <c r="D25" s="182">
        <f t="shared" si="0"/>
        <v>4.8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17906</v>
      </c>
      <c r="D27" s="182">
        <f t="shared" si="0"/>
        <v>0.3</v>
      </c>
    </row>
    <row r="28" spans="1:4">
      <c r="B28" s="187" t="s">
        <v>723</v>
      </c>
      <c r="C28" s="180">
        <f>SUM(C10:C27)</f>
        <v>6728230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6728230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355000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5496756</v>
      </c>
      <c r="D35" s="182">
        <f t="shared" ref="D35:D40" si="1">ROUND((C35/$C$41)*100,1)</f>
        <v>78</v>
      </c>
    </row>
    <row r="36" spans="1:4">
      <c r="B36" s="185" t="s">
        <v>743</v>
      </c>
      <c r="C36" s="179">
        <f>SUM('DOE25'!F111:J111)-SUM('DOE25'!G96:G109)+('DOE25'!F173+'DOE25'!F174+'DOE25'!I173+'DOE25'!I174)-C35</f>
        <v>7537</v>
      </c>
      <c r="D36" s="182">
        <f t="shared" si="1"/>
        <v>0.1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1264772</v>
      </c>
      <c r="D37" s="182">
        <f t="shared" si="1"/>
        <v>18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114543</v>
      </c>
      <c r="D38" s="182">
        <f t="shared" si="1"/>
        <v>1.6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159558</v>
      </c>
      <c r="D39" s="182">
        <f t="shared" si="1"/>
        <v>2.2999999999999998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7043166</v>
      </c>
      <c r="D41" s="184">
        <f>SUM(D35:D40)</f>
        <v>99.999999999999986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Grantham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F0A" sheet="1" objects="1" scenarios="1"/>
  <mergeCells count="223">
    <mergeCell ref="C79:M79"/>
    <mergeCell ref="C80:M80"/>
    <mergeCell ref="C81:M81"/>
    <mergeCell ref="C82:M82"/>
    <mergeCell ref="C75:M75"/>
    <mergeCell ref="C76:M76"/>
    <mergeCell ref="C88:M88"/>
    <mergeCell ref="C89:M89"/>
    <mergeCell ref="C90:M90"/>
    <mergeCell ref="C83:M83"/>
    <mergeCell ref="C84:M84"/>
    <mergeCell ref="C85:M85"/>
    <mergeCell ref="C86:M86"/>
    <mergeCell ref="C87:M87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6:M26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:M5"/>
    <mergeCell ref="C6:M6"/>
    <mergeCell ref="C7:M7"/>
    <mergeCell ref="C8:M8"/>
    <mergeCell ref="C20:M20"/>
    <mergeCell ref="BC29:BM29"/>
    <mergeCell ref="P32:Z32"/>
    <mergeCell ref="A1:I1"/>
    <mergeCell ref="C3:M3"/>
    <mergeCell ref="C4:M4"/>
    <mergeCell ref="F2:I2"/>
    <mergeCell ref="A2:E2"/>
    <mergeCell ref="C13:M13"/>
    <mergeCell ref="C27:M27"/>
    <mergeCell ref="C28:M28"/>
    <mergeCell ref="C24:M24"/>
    <mergeCell ref="P31:Z31"/>
    <mergeCell ref="C9:M9"/>
    <mergeCell ref="C10:M10"/>
    <mergeCell ref="C11:M11"/>
    <mergeCell ref="C12:M12"/>
    <mergeCell ref="BP29:BZ29"/>
    <mergeCell ref="CC29:CM29"/>
    <mergeCell ref="P29:Z29"/>
    <mergeCell ref="AC29:AM29"/>
    <mergeCell ref="AP29:AZ29"/>
    <mergeCell ref="C21:M21"/>
    <mergeCell ref="C22:M22"/>
    <mergeCell ref="C23:M23"/>
    <mergeCell ref="HP29:HZ29"/>
    <mergeCell ref="C29:M29"/>
    <mergeCell ref="C25:M25"/>
    <mergeCell ref="IC29:IM29"/>
    <mergeCell ref="EP29:EZ29"/>
    <mergeCell ref="FC29:FM29"/>
    <mergeCell ref="FP29:FZ29"/>
    <mergeCell ref="GC29:GM29"/>
    <mergeCell ref="GP29:GZ29"/>
    <mergeCell ref="HC29:HM29"/>
    <mergeCell ref="CP29:CZ29"/>
    <mergeCell ref="DC29:DM29"/>
    <mergeCell ref="DP29:DZ29"/>
    <mergeCell ref="EC29:E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BC30:BM30"/>
    <mergeCell ref="BP30:BZ30"/>
    <mergeCell ref="AC31:AM31"/>
    <mergeCell ref="C32:M32"/>
    <mergeCell ref="C30:M30"/>
    <mergeCell ref="C31:M31"/>
    <mergeCell ref="P40:Z40"/>
    <mergeCell ref="AC40:AM40"/>
    <mergeCell ref="BP32:BZ32"/>
    <mergeCell ref="BC38:BM38"/>
    <mergeCell ref="AC32:AM32"/>
    <mergeCell ref="AP32:AZ32"/>
    <mergeCell ref="P38:Z38"/>
    <mergeCell ref="P39:Z39"/>
    <mergeCell ref="AC39:AM39"/>
    <mergeCell ref="AP39:AZ39"/>
    <mergeCell ref="CC30:CM30"/>
    <mergeCell ref="CP30:CZ30"/>
    <mergeCell ref="DC30:DM30"/>
    <mergeCell ref="DP30:DZ30"/>
    <mergeCell ref="EC30:EM30"/>
    <mergeCell ref="EP30:EZ30"/>
    <mergeCell ref="FC30:FM30"/>
    <mergeCell ref="AC38:AM38"/>
    <mergeCell ref="AP38:AZ38"/>
    <mergeCell ref="BP38:BZ38"/>
    <mergeCell ref="CC38:CM38"/>
    <mergeCell ref="CC32:CM32"/>
    <mergeCell ref="CP38:CZ38"/>
    <mergeCell ref="BP39:BZ39"/>
    <mergeCell ref="AP31:AZ31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EC38:EM38"/>
    <mergeCell ref="EP38:EZ38"/>
    <mergeCell ref="FC38:FM38"/>
    <mergeCell ref="FP38:FZ38"/>
    <mergeCell ref="GP38:GZ38"/>
    <mergeCell ref="HC38:HM38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GP32:GZ32"/>
    <mergeCell ref="DC32:DM32"/>
    <mergeCell ref="DP32:DZ32"/>
    <mergeCell ref="EC32:EM32"/>
    <mergeCell ref="FP32:FZ32"/>
    <mergeCell ref="GC32:GM32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DC39:DM39"/>
    <mergeCell ref="DP39:DZ39"/>
    <mergeCell ref="EC39:EM39"/>
    <mergeCell ref="GC39:GM39"/>
    <mergeCell ref="IC40:IM40"/>
    <mergeCell ref="IP40:IV40"/>
    <mergeCell ref="HP40:HZ40"/>
    <mergeCell ref="GC38:GM38"/>
    <mergeCell ref="DC38:DM38"/>
    <mergeCell ref="DP38:DZ38"/>
    <mergeCell ref="C46:M46"/>
    <mergeCell ref="GC40:GM40"/>
    <mergeCell ref="GP40:GZ40"/>
    <mergeCell ref="HC40:HM40"/>
    <mergeCell ref="EC40:EM40"/>
    <mergeCell ref="C44:M44"/>
    <mergeCell ref="C43:M43"/>
    <mergeCell ref="BC40:BM40"/>
    <mergeCell ref="BP40:BZ40"/>
    <mergeCell ref="C40:M40"/>
    <mergeCell ref="C45:M45"/>
    <mergeCell ref="FC40:FM40"/>
    <mergeCell ref="FP40:FZ40"/>
    <mergeCell ref="CC40:CM40"/>
    <mergeCell ref="CP40:CZ40"/>
    <mergeCell ref="DC40:DM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2012-09-27T15:39:38Z</cp:lastPrinted>
  <dcterms:created xsi:type="dcterms:W3CDTF">1997-12-04T19:04:30Z</dcterms:created>
  <dcterms:modified xsi:type="dcterms:W3CDTF">2012-11-21T14:35:12Z</dcterms:modified>
</cp:coreProperties>
</file>