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 s="1"/>
  <c r="C39" i="10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F143" i="2" s="1"/>
  <c r="F144" i="2" s="1"/>
  <c r="D133" i="2"/>
  <c r="D143" i="2" s="1"/>
  <c r="D144" i="2" s="1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H51" i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/>
  <c r="H663" i="1" s="1"/>
  <c r="H671" i="1" s="1"/>
  <c r="L350" i="1"/>
  <c r="I661" i="1"/>
  <c r="L289" i="1"/>
  <c r="F659" i="1" s="1"/>
  <c r="A31" i="12"/>
  <c r="C69" i="2"/>
  <c r="A40" i="12"/>
  <c r="D12" i="13"/>
  <c r="C12" i="13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F103" i="2" s="1"/>
  <c r="D31" i="2"/>
  <c r="C127" i="2"/>
  <c r="C77" i="2"/>
  <c r="D49" i="2"/>
  <c r="G156" i="2"/>
  <c r="F49" i="2"/>
  <c r="F50" i="2" s="1"/>
  <c r="F18" i="2"/>
  <c r="G162" i="2"/>
  <c r="G157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G570" i="1"/>
  <c r="F544" i="1"/>
  <c r="J641" i="1"/>
  <c r="G433" i="1"/>
  <c r="A22" i="12"/>
  <c r="F139" i="1"/>
  <c r="D50" i="2"/>
  <c r="E90" i="2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F663" i="1"/>
  <c r="I551" i="1"/>
  <c r="K549" i="1"/>
  <c r="K597" i="1"/>
  <c r="G646" i="1"/>
  <c r="J646" i="1" s="1"/>
  <c r="K544" i="1"/>
  <c r="J617" i="1"/>
  <c r="H551" i="1"/>
  <c r="C29" i="10"/>
  <c r="I660" i="1"/>
  <c r="H139" i="1"/>
  <c r="L400" i="1"/>
  <c r="C138" i="2" s="1"/>
  <c r="L392" i="1"/>
  <c r="A13" i="12"/>
  <c r="F22" i="13"/>
  <c r="H25" i="13"/>
  <c r="H33" i="13" s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H666" i="1"/>
  <c r="L569" i="1"/>
  <c r="I570" i="1"/>
  <c r="I544" i="1"/>
  <c r="G36" i="2"/>
  <c r="L564" i="1"/>
  <c r="G544" i="1"/>
  <c r="L544" i="1"/>
  <c r="H544" i="1"/>
  <c r="F192" i="1"/>
  <c r="G626" i="1" s="1"/>
  <c r="J626" i="1" s="1"/>
  <c r="C22" i="13"/>
  <c r="F33" i="13"/>
  <c r="C137" i="2"/>
  <c r="C140" i="2" s="1"/>
  <c r="L407" i="1"/>
  <c r="C16" i="13"/>
  <c r="G659" i="1"/>
  <c r="I659" i="1" s="1"/>
  <c r="L337" i="1"/>
  <c r="L351" i="1" s="1"/>
  <c r="G632" i="1" s="1"/>
  <c r="J632" i="1" s="1"/>
  <c r="C25" i="13"/>
  <c r="F666" i="1"/>
  <c r="F671" i="1"/>
  <c r="C4" i="10"/>
  <c r="G636" i="1"/>
  <c r="J636" i="1" s="1"/>
  <c r="H645" i="1"/>
  <c r="E103" i="2" l="1"/>
  <c r="G160" i="2"/>
  <c r="C36" i="10"/>
  <c r="G192" i="1"/>
  <c r="G627" i="1" s="1"/>
  <c r="J627" i="1" s="1"/>
  <c r="C27" i="10"/>
  <c r="G634" i="1"/>
  <c r="G163" i="2"/>
  <c r="J19" i="1"/>
  <c r="G620" i="1" s="1"/>
  <c r="G12" i="2"/>
  <c r="G49" i="2"/>
  <c r="L570" i="1"/>
  <c r="D103" i="2"/>
  <c r="C103" i="2"/>
  <c r="J651" i="1"/>
  <c r="J634" i="1"/>
  <c r="I433" i="1"/>
  <c r="I191" i="1"/>
  <c r="G155" i="2"/>
  <c r="D102" i="2"/>
  <c r="I139" i="1"/>
  <c r="C38" i="10" s="1"/>
  <c r="G31" i="13"/>
  <c r="C28" i="10"/>
  <c r="D21" i="10" s="1"/>
  <c r="H192" i="1"/>
  <c r="G628" i="1" s="1"/>
  <c r="J628" i="1" s="1"/>
  <c r="L433" i="1"/>
  <c r="G637" i="1" s="1"/>
  <c r="J637" i="1" s="1"/>
  <c r="J648" i="1"/>
  <c r="H433" i="1"/>
  <c r="I337" i="1"/>
  <c r="I351" i="1" s="1"/>
  <c r="G31" i="2"/>
  <c r="G18" i="2"/>
  <c r="J551" i="1"/>
  <c r="K550" i="1"/>
  <c r="K551" i="1" s="1"/>
  <c r="K548" i="1"/>
  <c r="J192" i="1"/>
  <c r="G663" i="1"/>
  <c r="C143" i="2"/>
  <c r="C144" i="2" s="1"/>
  <c r="D17" i="10"/>
  <c r="D11" i="10"/>
  <c r="D27" i="10"/>
  <c r="C30" i="10"/>
  <c r="D18" i="10"/>
  <c r="D13" i="10"/>
  <c r="D20" i="10"/>
  <c r="D10" i="10"/>
  <c r="D23" i="10"/>
  <c r="D25" i="10"/>
  <c r="D15" i="10"/>
  <c r="D22" i="10"/>
  <c r="D19" i="10"/>
  <c r="D16" i="10"/>
  <c r="D12" i="10"/>
  <c r="D26" i="10"/>
  <c r="D24" i="10"/>
  <c r="G630" i="1"/>
  <c r="J630" i="1" s="1"/>
  <c r="G645" i="1"/>
  <c r="J645" i="1" s="1"/>
  <c r="E33" i="13"/>
  <c r="D35" i="13" s="1"/>
  <c r="J50" i="1"/>
  <c r="J32" i="1"/>
  <c r="J618" i="1"/>
  <c r="I662" i="1"/>
  <c r="I663" i="1" s="1"/>
  <c r="G671" i="1" l="1"/>
  <c r="G666" i="1"/>
  <c r="I192" i="1"/>
  <c r="G629" i="1" s="1"/>
  <c r="J629" i="1" s="1"/>
  <c r="G33" i="13"/>
  <c r="D31" i="13"/>
  <c r="G50" i="2"/>
  <c r="C41" i="10"/>
  <c r="I671" i="1"/>
  <c r="C7" i="10" s="1"/>
  <c r="I666" i="1"/>
  <c r="J51" i="1"/>
  <c r="H620" i="1" s="1"/>
  <c r="J620" i="1" s="1"/>
  <c r="G625" i="1"/>
  <c r="D28" i="10"/>
  <c r="D35" i="10" l="1"/>
  <c r="D37" i="10"/>
  <c r="D40" i="10"/>
  <c r="D39" i="10"/>
  <c r="D36" i="10"/>
  <c r="C31" i="13"/>
  <c r="D33" i="13"/>
  <c r="D36" i="13" s="1"/>
  <c r="D38" i="10"/>
  <c r="J625" i="1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<sst xmlns="http://schemas.openxmlformats.org/spreadsheetml/2006/main" count="3946" uniqueCount="913">
  <si>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</si>
  <si>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</si>
  <si>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</si>
  <si>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</si>
  <si>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</si>
  <si>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</si>
  <si>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</si>
  <si>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</si>
  <si>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</si>
  <si>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</si>
  <si>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</si>
  <si>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</si>
  <si>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</si>
  <si>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</si>
  <si>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</si>
  <si>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</si>
  <si>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</si>
  <si>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</si>
  <si>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</si>
  <si>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</si>
  <si>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</si>
  <si>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</si>
  <si>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</si>
  <si>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</si>
  <si>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</si>
  <si>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</si>
  <si>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</si>
  <si>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</si>
  <si>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</si>
  <si>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</si>
  <si>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</si>
  <si>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</si>
  <si>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</si>
  <si>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</si>
  <si>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</si>
  <si>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</si>
  <si>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</si>
  <si>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</si>
  <si>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</si>
  <si>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</si>
  <si>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</si>
  <si>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</si>
  <si>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</si>
  <si>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</si>
  <si>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</si>
  <si>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</si>
  <si>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</si>
  <si>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</si>
  <si>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</si>
  <si>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</si>
  <si>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</si>
  <si>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</si>
  <si>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</si>
  <si>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</si>
  <si>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</si>
  <si>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</si>
  <si>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</si>
  <si>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</si>
  <si>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</si>
  <si>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</si>
  <si>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</si>
  <si>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</si>
  <si>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</si>
  <si>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</si>
  <si>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</si>
  <si>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</si>
  <si>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</si>
  <si>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</si>
  <si>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</si>
  <si>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</si>
  <si>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</si>
  <si>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</si>
  <si>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</si>
  <si>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</si>
  <si>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</si>
  <si>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</si>
  <si>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</si>
  <si>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</si>
  <si>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</si>
  <si>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</si>
  <si>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</si>
  <si>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</si>
  <si>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</si>
  <si>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</si>
  <si>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</si>
  <si>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</si>
  <si>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</si>
  <si>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</si>
  <si>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</si>
  <si>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</si>
  <si>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</si>
  <si>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</si>
  <si>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</si>
  <si>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</si>
  <si>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</si>
  <si>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</si>
  <si>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</si>
  <si>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</si>
  <si>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</si>
  <si>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</si>
  <si>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</si>
  <si>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</si>
  <si>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</si>
  <si>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</si>
  <si>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</si>
  <si>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</si>
  <si>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</si>
  <si>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</si>
  <si>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</si>
  <si>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</si>
  <si>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</si>
  <si>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</si>
  <si>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</si>
  <si>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</si>
  <si>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</si>
  <si>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</si>
  <si>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</si>
  <si>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</si>
  <si>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</si>
  <si>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</si>
  <si>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</si>
  <si>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</si>
  <si>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</si>
  <si>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</si>
  <si>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</si>
  <si>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</si>
  <si>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</si>
  <si>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</si>
  <si>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</si>
  <si>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</si>
  <si>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</si>
  <si>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</si>
  <si>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</si>
  <si>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</si>
  <si>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</si>
  <si>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</si>
  <si>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</si>
  <si>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</si>
  <si>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</si>
  <si>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</si>
  <si>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</si>
  <si>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</si>
  <si>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</si>
  <si>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</si>
  <si>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</si>
  <si>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</si>
  <si>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</si>
  <si>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</si>
  <si>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</si>
  <si>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</si>
  <si>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</si>
  <si>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</si>
  <si>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</si>
  <si>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</si>
  <si>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</si>
  <si>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</si>
  <si>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</si>
  <si>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</si>
  <si>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</si>
  <si>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</si>
  <si>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</si>
  <si>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</si>
  <si>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</si>
  <si>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</si>
  <si>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</si>
  <si>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</si>
  <si>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</si>
  <si>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</si>
  <si>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</si>
  <si>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</si>
  <si>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</si>
  <si>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</si>
  <si>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</si>
  <si>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</si>
  <si>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</si>
  <si>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</si>
  <si>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</si>
  <si>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</si>
  <si>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</si>
  <si>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</si>
  <si>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</si>
  <si>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</si>
  <si>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</si>
  <si>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</si>
  <si>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</si>
  <si>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</si>
  <si>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</si>
  <si>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</si>
  <si>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</si>
  <si>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</si>
  <si>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</si>
  <si>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</si>
  <si>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</si>
  <si>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</si>
  <si>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</si>
  <si>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</si>
  <si>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</si>
  <si>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</si>
  <si>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</si>
  <si>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</si>
  <si>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</si>
  <si>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</si>
  <si>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</si>
  <si>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</si>
  <si>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</si>
  <si>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</si>
  <si>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</si>
  <si>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</si>
  <si>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</si>
  <si>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</si>
  <si>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</si>
  <si>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</si>
  <si>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</si>
  <si>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</si>
  <si>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</si>
  <si>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</si>
  <si>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</si>
  <si>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</si>
  <si>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</si>
  <si>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</si>
  <si>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</si>
  <si>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</si>
  <si>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</si>
  <si>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</si>
  <si>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</si>
  <si>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</si>
  <si>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</si>
  <si>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</si>
  <si>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</si>
  <si>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</si>
  <si>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</si>
  <si>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</si>
  <si>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</si>
  <si>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</si>
  <si>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</si>
  <si>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</si>
  <si>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</si>
  <si>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</si>
  <si>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</si>
  <si>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</si>
  <si>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</si>
  <si>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</si>
  <si>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</si>
  <si>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</si>
  <si>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</si>
  <si>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</si>
  <si>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</si>
  <si>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</si>
  <si>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</si>
  <si>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</si>
  <si>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</si>
  <si>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</si>
  <si>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</si>
  <si>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</si>
  <si>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</si>
  <si>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</si>
  <si>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</si>
  <si>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</si>
  <si>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</si>
  <si>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</si>
  <si>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</si>
  <si>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</si>
  <si>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</si>
  <si>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</si>
  <si>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</si>
  <si>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</si>
  <si>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</si>
  <si>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</si>
  <si>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</si>
  <si>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</si>
  <si>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</si>
  <si>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</si>
  <si>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</si>
  <si>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</si>
  <si>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</si>
  <si>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</si>
  <si>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</si>
  <si>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</si>
  <si>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</si>
  <si>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</si>
  <si>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</si>
  <si>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</si>
  <si>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</si>
  <si>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</si>
  <si>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</si>
  <si>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</si>
  <si>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</si>
  <si>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</si>
  <si>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</si>
  <si>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</si>
  <si>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</si>
  <si>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</si>
  <si>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</si>
  <si>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</si>
  <si>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</si>
  <si>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</si>
  <si>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</si>
  <si>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</si>
  <si>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</si>
  <si>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</si>
  <si>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</si>
  <si>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</si>
  <si>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</si>
  <si>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</si>
  <si>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</si>
  <si>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</si>
  <si>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</si>
  <si>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</si>
  <si>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</si>
  <si>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</si>
  <si>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</si>
  <si>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</si>
  <si>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</si>
  <si>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</si>
  <si>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</si>
  <si>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</si>
  <si>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</si>
  <si>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</si>
  <si>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</si>
  <si>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</si>
  <si>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</si>
  <si>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</si>
  <si>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</si>
  <si>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</si>
  <si>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</si>
  <si>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</si>
  <si>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</si>
  <si>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</si>
  <si>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</si>
  <si>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</si>
  <si>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</si>
  <si>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</si>
  <si>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</si>
  <si>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</si>
  <si>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</si>
  <si>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</si>
  <si>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</si>
  <si>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</si>
  <si>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</si>
  <si>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</si>
  <si>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</si>
  <si>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</si>
  <si>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</si>
  <si>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</si>
  <si>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</si>
  <si>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</si>
  <si>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</si>
  <si>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</si>
  <si>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</si>
  <si>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</si>
  <si>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</si>
  <si>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</si>
  <si>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</si>
  <si>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</si>
  <si>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</si>
  <si>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</si>
  <si>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</si>
  <si>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</si>
  <si>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</si>
  <si>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</si>
  <si>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</si>
  <si>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</si>
  <si>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</si>
  <si>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</si>
  <si>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</si>
  <si>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</si>
  <si>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</si>
  <si>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</si>
  <si>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</si>
  <si>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</si>
  <si>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</si>
  <si>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</si>
  <si>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</si>
  <si>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</si>
  <si>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</si>
  <si>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</si>
  <si>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</si>
  <si>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</si>
  <si>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</si>
  <si>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</si>
  <si>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</si>
  <si>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</si>
  <si>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</si>
  <si>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</si>
  <si>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</si>
  <si>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</si>
  <si>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</si>
  <si>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</si>
  <si>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</si>
  <si>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</si>
  <si>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</si>
  <si>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</si>
  <si>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</si>
  <si>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</si>
  <si>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</si>
  <si>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</si>
  <si>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</si>
  <si>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</si>
  <si>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</si>
  <si>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</si>
  <si>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</si>
  <si>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</si>
  <si>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</si>
  <si>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</si>
  <si>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</si>
  <si>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</si>
  <si>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</si>
  <si>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</si>
  <si>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</si>
  <si>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</si>
  <si>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</si>
  <si>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</si>
  <si>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</si>
  <si>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</si>
  <si>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</si>
  <si>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</si>
  <si>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</si>
  <si>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</si>
  <si>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</si>
  <si>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</si>
  <si>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</si>
  <si>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</si>
  <si>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</si>
  <si>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</si>
  <si>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</si>
  <si>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</si>
  <si>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</si>
  <si>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</si>
  <si>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</si>
  <si>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</si>
  <si>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</si>
  <si>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</si>
  <si>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</si>
  <si>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</si>
  <si>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</si>
  <si>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</si>
  <si>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</si>
  <si>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</si>
  <si>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</si>
  <si>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</si>
  <si>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</si>
  <si>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</si>
  <si>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</si>
  <si>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</si>
  <si>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</si>
  <si>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</si>
  <si>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</si>
  <si>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</si>
  <si>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</si>
  <si>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</si>
  <si>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</si>
  <si>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</si>
  <si>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</si>
  <si>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</si>
  <si>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</si>
  <si>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</si>
  <si>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</si>
  <si>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</si>
  <si>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</si>
  <si>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</si>
  <si>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</si>
  <si>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</si>
  <si>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</si>
  <si>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</si>
  <si>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</si>
  <si>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</si>
  <si>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</si>
  <si>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</si>
  <si>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</si>
  <si>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</si>
  <si>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</si>
  <si>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</si>
  <si>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</si>
  <si>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</si>
  <si>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</si>
  <si>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</si>
  <si>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</si>
  <si>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</si>
  <si>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</si>
  <si>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</si>
  <si>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</si>
  <si>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</si>
  <si>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</si>
  <si>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</si>
  <si>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</si>
  <si>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</si>
  <si>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</si>
  <si>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</si>
  <si>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</si>
  <si>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</si>
  <si>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</si>
  <si>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</si>
  <si>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</si>
  <si>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</si>
  <si>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</si>
  <si>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</si>
  <si>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</si>
  <si>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</si>
  <si>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</si>
  <si>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</si>
  <si>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</si>
  <si>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</si>
  <si>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</si>
  <si>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</si>
  <si>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</si>
  <si>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</si>
  <si>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</si>
  <si>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</si>
  <si>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</si>
  <si>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</si>
  <si>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</si>
  <si>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</si>
  <si>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</si>
  <si>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</si>
  <si>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</si>
  <si>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</si>
  <si>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</si>
  <si>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</si>
  <si>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</si>
  <si>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</si>
  <si>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</si>
  <si>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</si>
  <si>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</si>
  <si>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</si>
  <si>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</si>
  <si>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</si>
  <si>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</si>
  <si>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</si>
  <si>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</si>
  <si>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</si>
  <si>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</si>
  <si>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</si>
  <si>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</si>
  <si>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</si>
  <si>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</si>
  <si>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</si>
  <si>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</si>
  <si>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</si>
  <si>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</si>
  <si>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</si>
  <si>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</si>
  <si>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</si>
  <si>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</si>
  <si>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</si>
  <si>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</si>
  <si>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</si>
  <si>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</si>
  <si>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</si>
  <si>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</si>
  <si>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</si>
  <si>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</si>
  <si>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</si>
  <si>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</si>
  <si>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</si>
  <si>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</si>
  <si>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</si>
  <si>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</si>
  <si>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</si>
  <si>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</si>
  <si>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</si>
  <si>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</si>
  <si>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</si>
  <si>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</si>
  <si>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</si>
  <si>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</si>
  <si>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</si>
  <si>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</si>
  <si>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</si>
  <si>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</si>
  <si>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</si>
  <si>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</si>
  <si>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</si>
  <si>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</si>
  <si>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</si>
  <si>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</si>
  <si>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</si>
  <si>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</si>
  <si>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</si>
  <si>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</si>
  <si>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</si>
  <si>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</si>
  <si>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</si>
  <si>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</si>
  <si>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</si>
  <si>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</si>
  <si>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</si>
  <si>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</si>
  <si>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</si>
  <si>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</si>
  <si>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</si>
  <si>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</si>
  <si>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</si>
  <si>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</si>
  <si>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</si>
  <si>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</si>
  <si>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</si>
  <si>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</si>
  <si>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</si>
  <si>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</si>
  <si>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</si>
  <si>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</si>
  <si>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</si>
  <si>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</si>
  <si>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</si>
  <si>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</si>
  <si>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</si>
  <si>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</si>
  <si>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</si>
  <si>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</si>
  <si>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</si>
  <si>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</si>
  <si>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</si>
  <si>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</si>
  <si>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</si>
  <si>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</si>
  <si>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</si>
  <si>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</si>
  <si>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</si>
  <si>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</si>
  <si>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</si>
  <si>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</si>
  <si>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</si>
  <si>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</si>
  <si>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</si>
  <si>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</si>
  <si>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</si>
  <si>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</si>
  <si>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</si>
  <si>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</si>
  <si>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</si>
  <si>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</si>
  <si>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</si>
  <si>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</si>
  <si>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</si>
  <si>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</si>
  <si>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</si>
  <si>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</si>
  <si>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</si>
  <si>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</si>
  <si>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</si>
  <si>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</si>
  <si>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</si>
  <si>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</si>
  <si>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</si>
  <si>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</si>
  <si>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</si>
  <si>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</si>
  <si>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</si>
  <si>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</si>
  <si>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</si>
  <si>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</si>
  <si>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</si>
  <si>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</si>
  <si>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</si>
  <si>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</si>
  <si>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</si>
  <si>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</si>
  <si>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</si>
  <si>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</si>
  <si>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</si>
  <si>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</si>
  <si>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</si>
  <si>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</si>
  <si>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</si>
  <si>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</si>
  <si>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</si>
  <si>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</si>
  <si>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</si>
  <si>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</si>
  <si>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</si>
  <si>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</si>
  <si>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</si>
  <si>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</si>
  <si>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</si>
  <si>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</si>
  <si>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</si>
  <si>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</si>
  <si>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</si>
  <si>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</si>
  <si>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</si>
  <si>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</si>
  <si>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</si>
  <si>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</si>
  <si>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</si>
  <si>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</si>
  <si>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</si>
  <si>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</si>
  <si>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</si>
  <si>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</si>
  <si>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</si>
  <si>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</si>
  <si>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</si>
  <si>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</si>
  <si>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</si>
  <si>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</si>
  <si>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</si>
  <si>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</si>
  <si>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</si>
  <si>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</si>
  <si>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</si>
  <si>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</si>
  <si>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</si>
  <si>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</si>
  <si>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</si>
  <si>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</si>
  <si>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</si>
  <si>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</si>
  <si>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</si>
  <si>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</si>
  <si>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</si>
  <si>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</si>
  <si>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</si>
  <si>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</si>
  <si>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</si>
  <si>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</si>
  <si>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</si>
  <si>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</si>
  <si>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</si>
  <si>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</si>
  <si>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</si>
  <si>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</si>
  <si>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</si>
  <si>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</si>
  <si>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</si>
  <si>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</si>
  <si>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</si>
  <si>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</si>
  <si>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</si>
  <si>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</si>
  <si>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</si>
  <si>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</si>
  <si>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</si>
  <si>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</si>
  <si>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</si>
  <si>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</si>
  <si>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</si>
  <si>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</si>
  <si>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</si>
  <si>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</si>
  <si>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</si>
  <si>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</si>
  <si>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</si>
  <si>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</si>
  <si>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</si>
  <si>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</si>
  <si>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</si>
  <si>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</si>
  <si>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</si>
  <si>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</si>
  <si>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</si>
  <si>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</si>
  <si>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</si>
  <si>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</si>
  <si>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</si>
  <si>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</si>
  <si>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</si>
  <si>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</si>
  <si>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</si>
  <si>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</si>
  <si>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</si>
  <si>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</si>
  <si>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</si>
  <si>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</si>
  <si>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</si>
  <si>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</si>
  <si>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</si>
  <si>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</si>
  <si>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</si>
  <si>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</si>
  <si>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</si>
  <si>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</si>
  <si>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</si>
  <si>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</si>
  <si>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</si>
  <si>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</si>
  <si>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</si>
  <si>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</si>
  <si>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</si>
  <si>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</si>
  <si>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</si>
  <si>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</si>
  <si>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</si>
  <si>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</si>
  <si>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</si>
  <si>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</si>
  <si>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</si>
  <si>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</si>
  <si>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</si>
  <si>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</si>
  <si>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</si>
  <si>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</si>
  <si>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</si>
  <si>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</si>
  <si>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</si>
  <si>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</si>
  <si>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</si>
  <si>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</si>
  <si>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</si>
  <si>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</si>
  <si>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</si>
  <si>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</si>
  <si>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</si>
  <si>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</si>
  <si>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</si>
  <si>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</si>
  <si>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</si>
  <si>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</si>
  <si>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</si>
  <si>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</si>
  <si>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</si>
  <si>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</si>
  <si>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</si>
  <si>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</si>
  <si>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</si>
  <si>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</si>
  <si>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</si>
  <si>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</si>
  <si>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</si>
  <si>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</si>
  <si>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</si>
  <si>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</si>
  <si>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</si>
  <si>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</si>
  <si>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</si>
  <si>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</si>
  <si>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</si>
  <si>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</si>
  <si>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</si>
  <si>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</si>
  <si>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</si>
  <si>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</si>
  <si>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</si>
  <si>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</si>
  <si>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</si>
  <si>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</si>
  <si>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</si>
  <si>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</si>
  <si>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</si>
  <si>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</si>
  <si>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</si>
  <si>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</si>
  <si>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</si>
  <si>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</si>
  <si>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</si>
  <si>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</si>
  <si>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</si>
  <si>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</si>
  <si>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</si>
  <si>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</si>
  <si>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</si>
  <si>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</si>
  <si>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</si>
  <si>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</si>
  <si>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</si>
  <si>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</si>
  <si>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</si>
  <si>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</si>
  <si>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</si>
  <si>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</si>
  <si>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</si>
  <si>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</si>
  <si>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</si>
  <si>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</si>
  <si>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</si>
  <si>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</si>
  <si>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</si>
  <si>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</si>
  <si>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</si>
  <si>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</si>
  <si>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</si>
  <si>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</si>
  <si>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</si>
  <si>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</si>
  <si>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</si>
  <si>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</si>
  <si>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</si>
  <si>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</si>
  <si>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</si>
  <si>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</si>
  <si>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</si>
  <si>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</si>
  <si>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</si>
  <si>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</si>
  <si>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</si>
  <si>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</si>
  <si>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</si>
  <si>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</si>
  <si>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</si>
  <si>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</si>
  <si>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</si>
  <si>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</si>
  <si>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</si>
  <si>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</si>
  <si>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</si>
  <si>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</si>
  <si>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</si>
  <si>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</si>
  <si>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</si>
  <si>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</si>
  <si>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</si>
  <si>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</si>
  <si>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</si>
  <si>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</si>
  <si>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</si>
  <si>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</si>
  <si>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</si>
  <si>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</si>
  <si>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</si>
  <si>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</si>
  <si>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GREENLAND SCHOOL DISTRICT</t>
  </si>
  <si>
    <t>Increase in inventories</t>
  </si>
  <si>
    <t>08/02</t>
  </si>
  <si>
    <t>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</si>
</sst>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593" activePane="bottomRight" state="frozen"/>
      <selection pane="topRight" activeCell="F1" sqref="F1"/>
      <selection pane="bottomLeft" activeCell="A4" sqref="A4"/>
      <selection pane="bottomRight" activeCell="H522" sqref="H52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215</v>
      </c>
      <c r="C2" s="21">
        <v>215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137274.85999999999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393144.09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13326.09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279.24</v>
      </c>
      <c r="G13" s="18">
        <v>1955.48</v>
      </c>
      <c r="H13" s="18">
        <v>11618.12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812.1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2738.68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151692.28999999998</v>
      </c>
      <c r="G19" s="41">
        <f>SUM(G9:G18)</f>
        <v>4694.16</v>
      </c>
      <c r="H19" s="41">
        <f>SUM(H9:H18)</f>
        <v>11618.12</v>
      </c>
      <c r="I19" s="41">
        <f>SUM(I9:I18)</f>
        <v>0</v>
      </c>
      <c r="J19" s="41">
        <f>SUM(J9:J18)</f>
        <v>393144.09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1707.97</v>
      </c>
      <c r="H22" s="18">
        <v>11618.12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938.39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12238.37</v>
      </c>
      <c r="G24" s="18">
        <v>247.51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12708.37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25885.13</v>
      </c>
      <c r="G32" s="41">
        <f>SUM(G22:G31)</f>
        <v>1955.48</v>
      </c>
      <c r="H32" s="41">
        <f>SUM(H22:H31)</f>
        <v>11618.12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2738.68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393144.09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125807.16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125807.16</v>
      </c>
      <c r="G50" s="41">
        <f>SUM(G35:G49)</f>
        <v>2738.68</v>
      </c>
      <c r="H50" s="41">
        <f>SUM(H35:H49)</f>
        <v>0</v>
      </c>
      <c r="I50" s="41">
        <f>SUM(I35:I49)</f>
        <v>0</v>
      </c>
      <c r="J50" s="41">
        <f>SUM(J35:J49)</f>
        <v>393144.09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151692.29</v>
      </c>
      <c r="G51" s="41">
        <f>G50+G32</f>
        <v>4694.16</v>
      </c>
      <c r="H51" s="41">
        <f>H50+H32</f>
        <v>11618.12</v>
      </c>
      <c r="I51" s="41">
        <f>I50+I32</f>
        <v>0</v>
      </c>
      <c r="J51" s="41">
        <f>J50+J32</f>
        <v>393144.09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5057494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5057494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1252.27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1252.27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305.58999999999997</v>
      </c>
      <c r="G95" s="18"/>
      <c r="H95" s="18"/>
      <c r="I95" s="18"/>
      <c r="J95" s="18">
        <v>36.04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63727.46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20400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1640.9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4817.59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27464.080000000002</v>
      </c>
      <c r="G110" s="41">
        <f>SUM(G95:G109)</f>
        <v>63727.46</v>
      </c>
      <c r="H110" s="41">
        <f>SUM(H95:H109)</f>
        <v>0</v>
      </c>
      <c r="I110" s="41">
        <f>SUM(I95:I109)</f>
        <v>0</v>
      </c>
      <c r="J110" s="41">
        <f>SUM(J95:J109)</f>
        <v>36.04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5086210.3499999996</v>
      </c>
      <c r="G111" s="41">
        <f>G59+G110</f>
        <v>63727.46</v>
      </c>
      <c r="H111" s="41">
        <f>H59+H78+H93+H110</f>
        <v>0</v>
      </c>
      <c r="I111" s="41">
        <f>I59+I110</f>
        <v>0</v>
      </c>
      <c r="J111" s="41">
        <f>J59+J110</f>
        <v>36.04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489567.82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1432714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424.18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1922706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109954.73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1008.92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109954.73</v>
      </c>
      <c r="G135" s="41">
        <f>SUM(G122:G134)</f>
        <v>1008.92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2032660.73</v>
      </c>
      <c r="G139" s="41">
        <f>G120+SUM(G135:G136)</f>
        <v>1008.92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61744.57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12049.89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21642.35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21642.35</v>
      </c>
      <c r="G161" s="41">
        <f>SUM(G149:G160)</f>
        <v>12049.89</v>
      </c>
      <c r="H161" s="41">
        <f>SUM(H149:H160)</f>
        <v>61744.57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21642.35</v>
      </c>
      <c r="G168" s="41">
        <f>G146+G161+SUM(G162:G167)</f>
        <v>12049.89</v>
      </c>
      <c r="H168" s="41">
        <f>H146+H161+SUM(H162:H167)</f>
        <v>61744.57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19551.32</v>
      </c>
      <c r="H178" s="18"/>
      <c r="I178" s="18"/>
      <c r="J178" s="18">
        <v>105400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19551.32</v>
      </c>
      <c r="H182" s="41">
        <f>SUM(H178:H181)</f>
        <v>0</v>
      </c>
      <c r="I182" s="41">
        <f>SUM(I178:I181)</f>
        <v>0</v>
      </c>
      <c r="J182" s="41">
        <f>SUM(J178:J181)</f>
        <v>105400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19551.32</v>
      </c>
      <c r="H191" s="41">
        <f>+H182+SUM(H187:H190)</f>
        <v>0</v>
      </c>
      <c r="I191" s="41">
        <f>I176+I182+SUM(I187:I190)</f>
        <v>0</v>
      </c>
      <c r="J191" s="41">
        <f>J182</f>
        <v>105400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7140513.4299999997</v>
      </c>
      <c r="G192" s="47">
        <f>G111+G139+G168+G191</f>
        <v>96337.59</v>
      </c>
      <c r="H192" s="47">
        <f>H111+H139+H168+H191</f>
        <v>61744.57</v>
      </c>
      <c r="I192" s="47">
        <f>I111+I139+I168+I191</f>
        <v>0</v>
      </c>
      <c r="J192" s="47">
        <f>J111+J139+J191</f>
        <v>105436.04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1490426.89</v>
      </c>
      <c r="G196" s="18">
        <v>564926.97</v>
      </c>
      <c r="H196" s="18">
        <v>3328.45</v>
      </c>
      <c r="I196" s="18">
        <v>58256.93</v>
      </c>
      <c r="J196" s="18">
        <v>3326.86</v>
      </c>
      <c r="K196" s="18"/>
      <c r="L196" s="19">
        <f>SUM(F196:K196)</f>
        <v>2120266.0999999996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526213.01</v>
      </c>
      <c r="G197" s="18">
        <v>199454.21</v>
      </c>
      <c r="H197" s="18">
        <v>9969.52</v>
      </c>
      <c r="I197" s="18">
        <v>2997.13</v>
      </c>
      <c r="J197" s="18">
        <v>9676.5</v>
      </c>
      <c r="K197" s="18"/>
      <c r="L197" s="19">
        <f>SUM(F197:K197)</f>
        <v>748310.37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46425.39</v>
      </c>
      <c r="G199" s="18">
        <v>3678.43</v>
      </c>
      <c r="H199" s="18">
        <v>4348.83</v>
      </c>
      <c r="I199" s="18">
        <v>4901.95</v>
      </c>
      <c r="J199" s="18">
        <v>1995</v>
      </c>
      <c r="K199" s="18"/>
      <c r="L199" s="19">
        <f>SUM(F199:K199)</f>
        <v>61349.599999999999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219136.07</v>
      </c>
      <c r="G201" s="18">
        <v>83060.679999999993</v>
      </c>
      <c r="H201" s="18">
        <v>14217.31</v>
      </c>
      <c r="I201" s="18">
        <v>2880.33</v>
      </c>
      <c r="J201" s="18"/>
      <c r="K201" s="18"/>
      <c r="L201" s="19">
        <f t="shared" ref="L201:L207" si="0">SUM(F201:K201)</f>
        <v>319294.39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58271</v>
      </c>
      <c r="G202" s="18">
        <v>48585.13</v>
      </c>
      <c r="H202" s="18">
        <v>10185.370000000001</v>
      </c>
      <c r="I202" s="18">
        <v>16857.72</v>
      </c>
      <c r="J202" s="18">
        <v>30590.7</v>
      </c>
      <c r="K202" s="18">
        <v>2152.84</v>
      </c>
      <c r="L202" s="19">
        <f t="shared" si="0"/>
        <v>166642.76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11452.5</v>
      </c>
      <c r="G203" s="18">
        <v>1118.92</v>
      </c>
      <c r="H203" s="18">
        <v>235033.78</v>
      </c>
      <c r="I203" s="18">
        <v>128.24</v>
      </c>
      <c r="J203" s="18"/>
      <c r="K203" s="18">
        <v>3790.08</v>
      </c>
      <c r="L203" s="19">
        <f t="shared" si="0"/>
        <v>251523.52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158942.18</v>
      </c>
      <c r="G204" s="18">
        <v>61904.97</v>
      </c>
      <c r="H204" s="18">
        <v>7058.55</v>
      </c>
      <c r="I204" s="18">
        <v>1099.67</v>
      </c>
      <c r="J204" s="18">
        <v>912.95</v>
      </c>
      <c r="K204" s="18">
        <v>720</v>
      </c>
      <c r="L204" s="19">
        <f t="shared" si="0"/>
        <v>230638.32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5720.03</v>
      </c>
      <c r="L205" s="19">
        <f t="shared" si="0"/>
        <v>5720.03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164405.81</v>
      </c>
      <c r="G206" s="18">
        <v>62315.89</v>
      </c>
      <c r="H206" s="18">
        <v>82827.8</v>
      </c>
      <c r="I206" s="18">
        <v>116273.3</v>
      </c>
      <c r="J206" s="18">
        <v>21082.34</v>
      </c>
      <c r="K206" s="18"/>
      <c r="L206" s="19">
        <f t="shared" si="0"/>
        <v>446905.14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171333.41</v>
      </c>
      <c r="I207" s="18"/>
      <c r="J207" s="18"/>
      <c r="K207" s="18"/>
      <c r="L207" s="19">
        <f t="shared" si="0"/>
        <v>171333.41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2203</v>
      </c>
      <c r="H208" s="18">
        <v>6499.62</v>
      </c>
      <c r="I208" s="18">
        <v>200</v>
      </c>
      <c r="J208" s="18"/>
      <c r="K208" s="18"/>
      <c r="L208" s="19">
        <f>SUM(F208:K208)</f>
        <v>8902.619999999999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2675272.85</v>
      </c>
      <c r="G210" s="41">
        <f t="shared" si="1"/>
        <v>1027248.2000000001</v>
      </c>
      <c r="H210" s="41">
        <f t="shared" si="1"/>
        <v>544802.64</v>
      </c>
      <c r="I210" s="41">
        <f t="shared" si="1"/>
        <v>203595.27000000002</v>
      </c>
      <c r="J210" s="41">
        <f t="shared" si="1"/>
        <v>67584.349999999991</v>
      </c>
      <c r="K210" s="41">
        <f t="shared" si="1"/>
        <v>12382.95</v>
      </c>
      <c r="L210" s="41">
        <f t="shared" si="1"/>
        <v>4530886.26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2101616.91</v>
      </c>
      <c r="I232" s="18"/>
      <c r="J232" s="18"/>
      <c r="K232" s="18"/>
      <c r="L232" s="19">
        <f>SUM(F232:K232)</f>
        <v>2101616.91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60470.11</v>
      </c>
      <c r="I233" s="18"/>
      <c r="J233" s="18"/>
      <c r="K233" s="18"/>
      <c r="L233" s="19">
        <f>SUM(F233:K233)</f>
        <v>60470.11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6293.69</v>
      </c>
      <c r="I235" s="18"/>
      <c r="J235" s="18"/>
      <c r="K235" s="18"/>
      <c r="L235" s="19">
        <f>SUM(F235:K235)</f>
        <v>6293.69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1272.5</v>
      </c>
      <c r="G239" s="18">
        <v>124.32</v>
      </c>
      <c r="H239" s="18">
        <v>26114.86</v>
      </c>
      <c r="I239" s="18">
        <v>14.25</v>
      </c>
      <c r="J239" s="18"/>
      <c r="K239" s="18">
        <v>421.13</v>
      </c>
      <c r="L239" s="19">
        <f t="shared" si="4"/>
        <v>27947.06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42348.26</v>
      </c>
      <c r="I243" s="18"/>
      <c r="J243" s="18"/>
      <c r="K243" s="18"/>
      <c r="L243" s="19">
        <f t="shared" si="4"/>
        <v>42348.26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1272.5</v>
      </c>
      <c r="G246" s="41">
        <f t="shared" si="5"/>
        <v>124.32</v>
      </c>
      <c r="H246" s="41">
        <f t="shared" si="5"/>
        <v>2236843.8299999996</v>
      </c>
      <c r="I246" s="41">
        <f t="shared" si="5"/>
        <v>14.25</v>
      </c>
      <c r="J246" s="41">
        <f t="shared" si="5"/>
        <v>0</v>
      </c>
      <c r="K246" s="41">
        <f t="shared" si="5"/>
        <v>421.13</v>
      </c>
      <c r="L246" s="41">
        <f t="shared" si="5"/>
        <v>2238676.0299999998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32462.18</v>
      </c>
      <c r="I254" s="18"/>
      <c r="J254" s="18"/>
      <c r="K254" s="18"/>
      <c r="L254" s="19">
        <f t="shared" si="6"/>
        <v>32462.18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32462.18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32462.18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2676545.35</v>
      </c>
      <c r="G256" s="41">
        <f t="shared" si="8"/>
        <v>1027372.52</v>
      </c>
      <c r="H256" s="41">
        <f t="shared" si="8"/>
        <v>2814108.65</v>
      </c>
      <c r="I256" s="41">
        <f t="shared" si="8"/>
        <v>203609.52000000002</v>
      </c>
      <c r="J256" s="41">
        <f t="shared" si="8"/>
        <v>67584.349999999991</v>
      </c>
      <c r="K256" s="41">
        <f t="shared" si="8"/>
        <v>12804.08</v>
      </c>
      <c r="L256" s="41">
        <f t="shared" si="8"/>
        <v>6802024.4699999988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325000</v>
      </c>
      <c r="L259" s="19">
        <f>SUM(F259:K259)</f>
        <v>325000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157676.5</v>
      </c>
      <c r="L260" s="19">
        <f>SUM(F260:K260)</f>
        <v>157676.5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19551.32</v>
      </c>
      <c r="L262" s="19">
        <f>SUM(F262:K262)</f>
        <v>19551.32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105400</v>
      </c>
      <c r="L265" s="19">
        <f t="shared" si="9"/>
        <v>105400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607627.82000000007</v>
      </c>
      <c r="L269" s="41">
        <f t="shared" si="9"/>
        <v>607627.82000000007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2676545.35</v>
      </c>
      <c r="G270" s="42">
        <f t="shared" si="11"/>
        <v>1027372.52</v>
      </c>
      <c r="H270" s="42">
        <f t="shared" si="11"/>
        <v>2814108.65</v>
      </c>
      <c r="I270" s="42">
        <f t="shared" si="11"/>
        <v>203609.52000000002</v>
      </c>
      <c r="J270" s="42">
        <f t="shared" si="11"/>
        <v>67584.349999999991</v>
      </c>
      <c r="K270" s="42">
        <f t="shared" si="11"/>
        <v>620431.9</v>
      </c>
      <c r="L270" s="42">
        <f t="shared" si="11"/>
        <v>7409652.2899999991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50320.98</v>
      </c>
      <c r="G275" s="18">
        <v>8619.51</v>
      </c>
      <c r="H275" s="18"/>
      <c r="I275" s="18">
        <v>1772.44</v>
      </c>
      <c r="J275" s="18"/>
      <c r="K275" s="18"/>
      <c r="L275" s="19">
        <f>SUM(F275:K275)</f>
        <v>60712.930000000008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>
        <v>937</v>
      </c>
      <c r="K281" s="18"/>
      <c r="L281" s="19">
        <f t="shared" si="12"/>
        <v>937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94.64</v>
      </c>
      <c r="L284" s="19">
        <f t="shared" si="12"/>
        <v>94.64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50320.98</v>
      </c>
      <c r="G289" s="42">
        <f t="shared" si="13"/>
        <v>8619.51</v>
      </c>
      <c r="H289" s="42">
        <f t="shared" si="13"/>
        <v>0</v>
      </c>
      <c r="I289" s="42">
        <f t="shared" si="13"/>
        <v>1772.44</v>
      </c>
      <c r="J289" s="42">
        <f t="shared" si="13"/>
        <v>937</v>
      </c>
      <c r="K289" s="42">
        <f t="shared" si="13"/>
        <v>94.64</v>
      </c>
      <c r="L289" s="41">
        <f t="shared" si="13"/>
        <v>61744.570000000007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50320.98</v>
      </c>
      <c r="G337" s="41">
        <f t="shared" si="20"/>
        <v>8619.51</v>
      </c>
      <c r="H337" s="41">
        <f t="shared" si="20"/>
        <v>0</v>
      </c>
      <c r="I337" s="41">
        <f t="shared" si="20"/>
        <v>1772.44</v>
      </c>
      <c r="J337" s="41">
        <f t="shared" si="20"/>
        <v>937</v>
      </c>
      <c r="K337" s="41">
        <f t="shared" si="20"/>
        <v>94.64</v>
      </c>
      <c r="L337" s="41">
        <f t="shared" si="20"/>
        <v>61744.570000000007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50320.98</v>
      </c>
      <c r="G351" s="41">
        <f>G337</f>
        <v>8619.51</v>
      </c>
      <c r="H351" s="41">
        <f>H337</f>
        <v>0</v>
      </c>
      <c r="I351" s="41">
        <f>I337</f>
        <v>1772.44</v>
      </c>
      <c r="J351" s="41">
        <f>J337</f>
        <v>937</v>
      </c>
      <c r="K351" s="47">
        <f>K337+K350</f>
        <v>94.64</v>
      </c>
      <c r="L351" s="41">
        <f>L337+L350</f>
        <v>61744.570000000007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42219.3</v>
      </c>
      <c r="G357" s="18">
        <v>16002.68</v>
      </c>
      <c r="H357" s="18">
        <v>1261.5</v>
      </c>
      <c r="I357" s="18">
        <v>36854.11</v>
      </c>
      <c r="J357" s="18"/>
      <c r="K357" s="18"/>
      <c r="L357" s="13">
        <f>SUM(F357:K357)</f>
        <v>96337.59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42219.3</v>
      </c>
      <c r="G361" s="47">
        <f t="shared" si="22"/>
        <v>16002.68</v>
      </c>
      <c r="H361" s="47">
        <f t="shared" si="22"/>
        <v>1261.5</v>
      </c>
      <c r="I361" s="47">
        <f t="shared" si="22"/>
        <v>36854.11</v>
      </c>
      <c r="J361" s="47">
        <f t="shared" si="22"/>
        <v>0</v>
      </c>
      <c r="K361" s="47">
        <f t="shared" si="22"/>
        <v>0</v>
      </c>
      <c r="L361" s="47">
        <f t="shared" si="22"/>
        <v>96337.59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1345.81</v>
      </c>
      <c r="G366" s="18"/>
      <c r="H366" s="18"/>
      <c r="I366" s="56">
        <f>SUM(F366:H366)</f>
        <v>1345.81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35508.300000000003</v>
      </c>
      <c r="G367" s="63"/>
      <c r="H367" s="63"/>
      <c r="I367" s="56">
        <f>SUM(F367:H367)</f>
        <v>35508.300000000003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36854.11</v>
      </c>
      <c r="G368" s="47">
        <f>SUM(G366:G367)</f>
        <v>0</v>
      </c>
      <c r="H368" s="47">
        <f>SUM(H366:H367)</f>
        <v>0</v>
      </c>
      <c r="I368" s="47">
        <f>SUM(I366:I367)</f>
        <v>36854.11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>
        <v>40000</v>
      </c>
      <c r="H394" s="18">
        <v>1.92</v>
      </c>
      <c r="I394" s="18"/>
      <c r="J394" s="24" t="s">
        <v>289</v>
      </c>
      <c r="K394" s="24" t="s">
        <v>289</v>
      </c>
      <c r="L394" s="56">
        <f t="shared" ref="L394:L399" si="26">SUM(F394:K394)</f>
        <v>40001.919999999998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20400</v>
      </c>
      <c r="H395" s="18">
        <v>31.41</v>
      </c>
      <c r="I395" s="18"/>
      <c r="J395" s="24" t="s">
        <v>289</v>
      </c>
      <c r="K395" s="24" t="s">
        <v>289</v>
      </c>
      <c r="L395" s="56">
        <f t="shared" si="26"/>
        <v>20431.41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45000</v>
      </c>
      <c r="H397" s="18">
        <v>2.4500000000000002</v>
      </c>
      <c r="I397" s="18"/>
      <c r="J397" s="24" t="s">
        <v>289</v>
      </c>
      <c r="K397" s="24" t="s">
        <v>289</v>
      </c>
      <c r="L397" s="56">
        <f t="shared" si="26"/>
        <v>45002.45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0.26</v>
      </c>
      <c r="I399" s="18"/>
      <c r="J399" s="24" t="s">
        <v>289</v>
      </c>
      <c r="K399" s="24" t="s">
        <v>289</v>
      </c>
      <c r="L399" s="56">
        <f t="shared" si="26"/>
        <v>0.26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105400</v>
      </c>
      <c r="H400" s="47">
        <f>SUM(H394:H399)</f>
        <v>36.04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105436.04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105400</v>
      </c>
      <c r="H407" s="47">
        <f>H392+H400+H406</f>
        <v>36.04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105436.04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>
        <v>39000</v>
      </c>
      <c r="H420" s="18"/>
      <c r="I420" s="18"/>
      <c r="J420" s="18"/>
      <c r="K420" s="18"/>
      <c r="L420" s="56">
        <f t="shared" ref="L420:L425" si="29">SUM(F420:K420)</f>
        <v>39000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39000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39000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39000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39000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393144.09</v>
      </c>
      <c r="H439" s="18"/>
      <c r="I439" s="56">
        <f t="shared" si="33"/>
        <v>393144.09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393144.09</v>
      </c>
      <c r="H445" s="13">
        <f>SUM(H438:H444)</f>
        <v>0</v>
      </c>
      <c r="I445" s="13">
        <f>SUM(I438:I444)</f>
        <v>393144.09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393144.09</v>
      </c>
      <c r="H458" s="18"/>
      <c r="I458" s="56">
        <f t="shared" si="34"/>
        <v>393144.09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393144.09</v>
      </c>
      <c r="H459" s="83">
        <f>SUM(H453:H458)</f>
        <v>0</v>
      </c>
      <c r="I459" s="83">
        <f>SUM(I453:I458)</f>
        <v>393144.09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393144.09</v>
      </c>
      <c r="H460" s="42">
        <f>H451+H459</f>
        <v>0</v>
      </c>
      <c r="I460" s="42">
        <f>I451+I459</f>
        <v>393144.09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394946.02</v>
      </c>
      <c r="G464" s="18">
        <v>2477.56</v>
      </c>
      <c r="H464" s="18"/>
      <c r="I464" s="18"/>
      <c r="J464" s="18">
        <v>326708.05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7140513.4299999997</v>
      </c>
      <c r="G467" s="18">
        <v>96337.59</v>
      </c>
      <c r="H467" s="18">
        <v>61744.57</v>
      </c>
      <c r="I467" s="18"/>
      <c r="J467" s="18">
        <v>105436.04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261.12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7140513.4299999997</v>
      </c>
      <c r="G469" s="53">
        <f>SUM(G467:G468)</f>
        <v>96598.709999999992</v>
      </c>
      <c r="H469" s="53">
        <f>SUM(H467:H468)</f>
        <v>61744.57</v>
      </c>
      <c r="I469" s="53">
        <f>SUM(I467:I468)</f>
        <v>0</v>
      </c>
      <c r="J469" s="53">
        <f>SUM(J467:J468)</f>
        <v>105436.04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7409652.29</v>
      </c>
      <c r="G471" s="18">
        <v>96337.59</v>
      </c>
      <c r="H471" s="18">
        <v>61744.57</v>
      </c>
      <c r="I471" s="18"/>
      <c r="J471" s="18">
        <v>39000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7409652.29</v>
      </c>
      <c r="G473" s="53">
        <f>SUM(G471:G472)</f>
        <v>96337.59</v>
      </c>
      <c r="H473" s="53">
        <f>SUM(H471:H472)</f>
        <v>61744.57</v>
      </c>
      <c r="I473" s="53">
        <f>SUM(I471:I472)</f>
        <v>0</v>
      </c>
      <c r="J473" s="53">
        <f>SUM(J471:J472)</f>
        <v>39000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125807.15999999922</v>
      </c>
      <c r="G475" s="53">
        <f>(G464+G469)- G473</f>
        <v>2738.679999999993</v>
      </c>
      <c r="H475" s="53">
        <f>(H464+H469)- H473</f>
        <v>0</v>
      </c>
      <c r="I475" s="53">
        <f>(I464+I469)- I473</f>
        <v>0</v>
      </c>
      <c r="J475" s="53">
        <f>(J464+J469)- J473</f>
        <v>393144.08999999997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6473515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4.4400000000000004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3870000</v>
      </c>
      <c r="G494" s="18"/>
      <c r="H494" s="18"/>
      <c r="I494" s="18"/>
      <c r="J494" s="18"/>
      <c r="K494" s="53">
        <f>SUM(F494:J494)</f>
        <v>3870000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325000</v>
      </c>
      <c r="G496" s="18"/>
      <c r="H496" s="18"/>
      <c r="I496" s="18"/>
      <c r="J496" s="18"/>
      <c r="K496" s="53">
        <f t="shared" si="35"/>
        <v>325000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3545000</v>
      </c>
      <c r="G497" s="205"/>
      <c r="H497" s="205"/>
      <c r="I497" s="205"/>
      <c r="J497" s="205"/>
      <c r="K497" s="206">
        <f t="shared" si="35"/>
        <v>3545000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935517.25</v>
      </c>
      <c r="G498" s="18"/>
      <c r="H498" s="18"/>
      <c r="I498" s="18"/>
      <c r="J498" s="18"/>
      <c r="K498" s="53">
        <f t="shared" si="35"/>
        <v>935517.25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4480517.25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4480517.25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325000</v>
      </c>
      <c r="G500" s="205"/>
      <c r="H500" s="205"/>
      <c r="I500" s="205"/>
      <c r="J500" s="205"/>
      <c r="K500" s="206">
        <f t="shared" si="35"/>
        <v>325000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155033</v>
      </c>
      <c r="G501" s="18"/>
      <c r="H501" s="18"/>
      <c r="I501" s="18"/>
      <c r="J501" s="18"/>
      <c r="K501" s="53">
        <f t="shared" si="35"/>
        <v>155033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480033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480033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472887.92</v>
      </c>
      <c r="G520" s="18">
        <v>175495.11</v>
      </c>
      <c r="H520" s="18">
        <v>8195.4599999999991</v>
      </c>
      <c r="I520" s="18">
        <v>2997.13</v>
      </c>
      <c r="J520" s="18">
        <v>9676.5</v>
      </c>
      <c r="K520" s="18"/>
      <c r="L520" s="88">
        <f>SUM(F520:K520)</f>
        <v>669252.12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18706</v>
      </c>
      <c r="G522" s="18">
        <v>7052.74</v>
      </c>
      <c r="H522" s="18">
        <v>66763.8</v>
      </c>
      <c r="I522" s="18"/>
      <c r="J522" s="18"/>
      <c r="K522" s="18"/>
      <c r="L522" s="88">
        <f>SUM(F522:K522)</f>
        <v>92522.540000000008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491593.92</v>
      </c>
      <c r="G523" s="108">
        <f t="shared" ref="G523:L523" si="36">SUM(G520:G522)</f>
        <v>182547.84999999998</v>
      </c>
      <c r="H523" s="108">
        <f t="shared" si="36"/>
        <v>74959.260000000009</v>
      </c>
      <c r="I523" s="108">
        <f t="shared" si="36"/>
        <v>2997.13</v>
      </c>
      <c r="J523" s="108">
        <f t="shared" si="36"/>
        <v>9676.5</v>
      </c>
      <c r="K523" s="108">
        <f t="shared" si="36"/>
        <v>0</v>
      </c>
      <c r="L523" s="89">
        <f t="shared" si="36"/>
        <v>761774.66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102890.07</v>
      </c>
      <c r="G525" s="18">
        <v>38333.18</v>
      </c>
      <c r="H525" s="18">
        <v>10168</v>
      </c>
      <c r="I525" s="18">
        <v>310.27999999999997</v>
      </c>
      <c r="J525" s="18"/>
      <c r="K525" s="18"/>
      <c r="L525" s="88">
        <f>SUM(F525:K525)</f>
        <v>151701.53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102890.07</v>
      </c>
      <c r="G528" s="89">
        <f t="shared" ref="G528:L528" si="37">SUM(G525:G527)</f>
        <v>38333.18</v>
      </c>
      <c r="H528" s="89">
        <f t="shared" si="37"/>
        <v>10168</v>
      </c>
      <c r="I528" s="89">
        <f t="shared" si="37"/>
        <v>310.27999999999997</v>
      </c>
      <c r="J528" s="89">
        <f t="shared" si="37"/>
        <v>0</v>
      </c>
      <c r="K528" s="89">
        <f t="shared" si="37"/>
        <v>0</v>
      </c>
      <c r="L528" s="89">
        <f t="shared" si="37"/>
        <v>151701.53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11096.86</v>
      </c>
      <c r="G530" s="18">
        <v>3741.56</v>
      </c>
      <c r="H530" s="18">
        <v>1067.8699999999999</v>
      </c>
      <c r="I530" s="18">
        <v>345.74</v>
      </c>
      <c r="J530" s="18">
        <v>123.93</v>
      </c>
      <c r="K530" s="18">
        <v>176.29</v>
      </c>
      <c r="L530" s="88">
        <f>SUM(F530:K530)</f>
        <v>16552.25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16645.3</v>
      </c>
      <c r="G532" s="18">
        <v>5612.34</v>
      </c>
      <c r="H532" s="18">
        <v>1601.8</v>
      </c>
      <c r="I532" s="18">
        <v>518.61</v>
      </c>
      <c r="J532" s="18">
        <v>185.89</v>
      </c>
      <c r="K532" s="18">
        <v>264.44</v>
      </c>
      <c r="L532" s="88">
        <f>SUM(F532:K532)</f>
        <v>24828.379999999997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27742.16</v>
      </c>
      <c r="G533" s="89">
        <f t="shared" ref="G533:L533" si="38">SUM(G530:G532)</f>
        <v>9353.9</v>
      </c>
      <c r="H533" s="89">
        <f t="shared" si="38"/>
        <v>2669.67</v>
      </c>
      <c r="I533" s="89">
        <f t="shared" si="38"/>
        <v>864.35</v>
      </c>
      <c r="J533" s="89">
        <f t="shared" si="38"/>
        <v>309.82</v>
      </c>
      <c r="K533" s="89">
        <f t="shared" si="38"/>
        <v>440.73</v>
      </c>
      <c r="L533" s="89">
        <f t="shared" si="38"/>
        <v>41380.629999999997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2094.06</v>
      </c>
      <c r="I535" s="18"/>
      <c r="J535" s="18"/>
      <c r="K535" s="18"/>
      <c r="L535" s="88">
        <f>SUM(F535:K535)</f>
        <v>2094.06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2094.06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2094.06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7915</v>
      </c>
      <c r="I542" s="18"/>
      <c r="J542" s="18"/>
      <c r="K542" s="18"/>
      <c r="L542" s="88">
        <f>SUM(F542:K542)</f>
        <v>7915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7915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7915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622226.15</v>
      </c>
      <c r="G544" s="89">
        <f t="shared" ref="G544:L544" si="41">G523+G528+G533+G538+G543</f>
        <v>230234.92999999996</v>
      </c>
      <c r="H544" s="89">
        <f t="shared" si="41"/>
        <v>97805.99</v>
      </c>
      <c r="I544" s="89">
        <f t="shared" si="41"/>
        <v>4171.76</v>
      </c>
      <c r="J544" s="89">
        <f t="shared" si="41"/>
        <v>9986.32</v>
      </c>
      <c r="K544" s="89">
        <f t="shared" si="41"/>
        <v>440.73</v>
      </c>
      <c r="L544" s="89">
        <f t="shared" si="41"/>
        <v>964865.88000000012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669252.12</v>
      </c>
      <c r="G548" s="87">
        <f>L525</f>
        <v>151701.53</v>
      </c>
      <c r="H548" s="87">
        <f>L530</f>
        <v>16552.25</v>
      </c>
      <c r="I548" s="87">
        <f>L535</f>
        <v>2094.06</v>
      </c>
      <c r="J548" s="87">
        <f>L540</f>
        <v>0</v>
      </c>
      <c r="K548" s="87">
        <f>SUM(F548:J548)</f>
        <v>839599.96000000008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92522.540000000008</v>
      </c>
      <c r="G550" s="87">
        <f>L527</f>
        <v>0</v>
      </c>
      <c r="H550" s="87">
        <f>L532</f>
        <v>24828.379999999997</v>
      </c>
      <c r="I550" s="87">
        <f>L537</f>
        <v>0</v>
      </c>
      <c r="J550" s="87">
        <f>L542</f>
        <v>7915</v>
      </c>
      <c r="K550" s="87">
        <f>SUM(F550:J550)</f>
        <v>125265.92000000001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761774.66</v>
      </c>
      <c r="G551" s="89">
        <f t="shared" si="42"/>
        <v>151701.53</v>
      </c>
      <c r="H551" s="89">
        <f t="shared" si="42"/>
        <v>41380.629999999997</v>
      </c>
      <c r="I551" s="89">
        <f t="shared" si="42"/>
        <v>2094.06</v>
      </c>
      <c r="J551" s="89">
        <f t="shared" si="42"/>
        <v>7915</v>
      </c>
      <c r="K551" s="89">
        <f t="shared" si="42"/>
        <v>964865.88000000012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5291.52</v>
      </c>
      <c r="G561" s="18">
        <v>199.45</v>
      </c>
      <c r="H561" s="18">
        <v>1451.05</v>
      </c>
      <c r="I561" s="18"/>
      <c r="J561" s="18"/>
      <c r="K561" s="18"/>
      <c r="L561" s="88">
        <f>SUM(F561:K561)</f>
        <v>6942.02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5291.52</v>
      </c>
      <c r="G564" s="89">
        <f t="shared" si="44"/>
        <v>199.45</v>
      </c>
      <c r="H564" s="89">
        <f t="shared" si="44"/>
        <v>1451.05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6942.02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47216</v>
      </c>
      <c r="G566" s="18">
        <v>17891.04</v>
      </c>
      <c r="H566" s="18"/>
      <c r="I566" s="18"/>
      <c r="J566" s="18"/>
      <c r="K566" s="18"/>
      <c r="L566" s="88">
        <f>SUM(F566:K566)</f>
        <v>65107.040000000001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47216</v>
      </c>
      <c r="G569" s="194">
        <f t="shared" ref="G569:L569" si="45">SUM(G566:G568)</f>
        <v>17891.04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65107.040000000001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52507.520000000004</v>
      </c>
      <c r="G570" s="89">
        <f t="shared" ref="G570:L570" si="46">G559+G564+G569</f>
        <v>18090.490000000002</v>
      </c>
      <c r="H570" s="89">
        <f t="shared" si="46"/>
        <v>1451.05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72049.06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2101616.91</v>
      </c>
      <c r="I574" s="87">
        <f>SUM(F574:H574)</f>
        <v>2101616.91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23224.65</v>
      </c>
      <c r="I578" s="87">
        <f t="shared" si="47"/>
        <v>23224.65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43539.15</v>
      </c>
      <c r="I581" s="87">
        <f t="shared" si="47"/>
        <v>43539.15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160688.54</v>
      </c>
      <c r="I590" s="18"/>
      <c r="J590" s="18">
        <v>34433.26</v>
      </c>
      <c r="K590" s="104">
        <f t="shared" ref="K590:K596" si="48">SUM(H590:J590)</f>
        <v>195121.80000000002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7915</v>
      </c>
      <c r="K591" s="104">
        <f t="shared" si="48"/>
        <v>7915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3488.09</v>
      </c>
      <c r="I593" s="18"/>
      <c r="J593" s="18"/>
      <c r="K593" s="104">
        <f t="shared" si="48"/>
        <v>3488.09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7156.78</v>
      </c>
      <c r="I594" s="18"/>
      <c r="J594" s="18"/>
      <c r="K594" s="104">
        <f t="shared" si="48"/>
        <v>7156.78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171333.41</v>
      </c>
      <c r="I597" s="108">
        <f>SUM(I590:I596)</f>
        <v>0</v>
      </c>
      <c r="J597" s="108">
        <f>SUM(J590:J596)</f>
        <v>42348.26</v>
      </c>
      <c r="K597" s="108">
        <f>SUM(K590:K596)</f>
        <v>213681.67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68521.350000000006</v>
      </c>
      <c r="I603" s="18"/>
      <c r="J603" s="18"/>
      <c r="K603" s="104">
        <f>SUM(H603:J603)</f>
        <v>68521.350000000006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68521.350000000006</v>
      </c>
      <c r="I604" s="108">
        <f>SUM(I601:I603)</f>
        <v>0</v>
      </c>
      <c r="J604" s="108">
        <f>SUM(J601:J603)</f>
        <v>0</v>
      </c>
      <c r="K604" s="108">
        <f>SUM(K601:K603)</f>
        <v>68521.350000000006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12497.91</v>
      </c>
      <c r="G610" s="18">
        <v>990.23</v>
      </c>
      <c r="H610" s="18">
        <v>320</v>
      </c>
      <c r="I610" s="18"/>
      <c r="J610" s="18"/>
      <c r="K610" s="18"/>
      <c r="L610" s="88">
        <f>SUM(F610:K610)</f>
        <v>13808.14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6293.69</v>
      </c>
      <c r="I612" s="18"/>
      <c r="J612" s="18"/>
      <c r="K612" s="18"/>
      <c r="L612" s="88">
        <f>SUM(F612:K612)</f>
        <v>6293.69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12497.91</v>
      </c>
      <c r="G613" s="108">
        <f t="shared" si="49"/>
        <v>990.23</v>
      </c>
      <c r="H613" s="108">
        <f t="shared" si="49"/>
        <v>6613.69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20101.829999999998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151692.28999999998</v>
      </c>
      <c r="H616" s="109">
        <f>SUM(F51)</f>
        <v>151692.29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4694.16</v>
      </c>
      <c r="H617" s="109">
        <f>SUM(G51)</f>
        <v>4694.16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11618.12</v>
      </c>
      <c r="H618" s="109">
        <f>SUM(H51)</f>
        <v>11618.12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393144.09</v>
      </c>
      <c r="H620" s="109">
        <f>SUM(J51)</f>
        <v>393144.09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125807.16</v>
      </c>
      <c r="H621" s="109">
        <f>F475</f>
        <v>125807.15999999922</v>
      </c>
      <c r="I621" s="121" t="s">
        <v>101</v>
      </c>
      <c r="J621" s="109">
        <f t="shared" ref="J621:J654" si="50">G621-H621</f>
        <v>7.8580342233181E-10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2738.68</v>
      </c>
      <c r="H622" s="109">
        <f>G475</f>
        <v>2738.679999999993</v>
      </c>
      <c r="I622" s="121" t="s">
        <v>102</v>
      </c>
      <c r="J622" s="109">
        <f t="shared" si="50"/>
        <v>6.8212102632969618E-12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393144.09</v>
      </c>
      <c r="H625" s="109">
        <f>J475</f>
        <v>393144.08999999997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7140513.4299999997</v>
      </c>
      <c r="H626" s="104">
        <f>SUM(F467)</f>
        <v>7140513.4299999997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96337.59</v>
      </c>
      <c r="H627" s="104">
        <f>SUM(G467)</f>
        <v>96337.59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61744.57</v>
      </c>
      <c r="H628" s="104">
        <f>SUM(H467)</f>
        <v>61744.57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105436.04</v>
      </c>
      <c r="H630" s="104">
        <f>SUM(J467)</f>
        <v>105436.04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7409652.2899999991</v>
      </c>
      <c r="H631" s="104">
        <f>SUM(F471)</f>
        <v>7409652.29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61744.570000000007</v>
      </c>
      <c r="H632" s="104">
        <f>SUM(H471)</f>
        <v>61744.57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36854.11</v>
      </c>
      <c r="H633" s="104">
        <f>I368</f>
        <v>36854.11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96337.59</v>
      </c>
      <c r="H634" s="104">
        <f>SUM(G471)</f>
        <v>96337.59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105436.04</v>
      </c>
      <c r="H636" s="164">
        <f>SUM(J467)</f>
        <v>105436.04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39000</v>
      </c>
      <c r="H637" s="164">
        <f>SUM(J471)</f>
        <v>39000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393144.09</v>
      </c>
      <c r="H639" s="104">
        <f>SUM(G460)</f>
        <v>393144.09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393144.09</v>
      </c>
      <c r="H641" s="104">
        <f>SUM(I460)</f>
        <v>393144.09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36.04</v>
      </c>
      <c r="H643" s="104">
        <f>H407</f>
        <v>36.04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105400</v>
      </c>
      <c r="H644" s="104">
        <f>G407</f>
        <v>105400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105436.04</v>
      </c>
      <c r="H645" s="104">
        <f>L407</f>
        <v>105436.04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213681.67</v>
      </c>
      <c r="H646" s="104">
        <f>L207+L225+L243</f>
        <v>213681.67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68521.350000000006</v>
      </c>
      <c r="H647" s="104">
        <f>(J256+J337)-(J254+J335)</f>
        <v>68521.349999999991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171333.41</v>
      </c>
      <c r="H648" s="104">
        <f>H597</f>
        <v>171333.41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42348.26</v>
      </c>
      <c r="H650" s="104">
        <f>J597</f>
        <v>42348.26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19551.32</v>
      </c>
      <c r="H651" s="104">
        <f>K262+K344</f>
        <v>19551.32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105400</v>
      </c>
      <c r="H654" s="104">
        <f>K265+K346</f>
        <v>105400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4688968.42</v>
      </c>
      <c r="G659" s="19">
        <f>(L228+L308+L358)</f>
        <v>0</v>
      </c>
      <c r="H659" s="19">
        <f>(L246+L327+L359)</f>
        <v>2238676.0299999998</v>
      </c>
      <c r="I659" s="19">
        <f>SUM(F659:H659)</f>
        <v>6927644.4499999993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63727.46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63727.46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171333.41</v>
      </c>
      <c r="G661" s="19">
        <f>(L225+L305)-(J225+J305)</f>
        <v>0</v>
      </c>
      <c r="H661" s="19">
        <f>(L243+L324)-(J243+J324)</f>
        <v>42348.26</v>
      </c>
      <c r="I661" s="19">
        <f>SUM(F661:H661)</f>
        <v>213681.67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82329.490000000005</v>
      </c>
      <c r="G662" s="200">
        <f>SUM(G574:G586)+SUM(I601:I603)+L611</f>
        <v>0</v>
      </c>
      <c r="H662" s="200">
        <f>SUM(H574:H586)+SUM(J601:J603)+L612</f>
        <v>2174674.4</v>
      </c>
      <c r="I662" s="19">
        <f>SUM(F662:H662)</f>
        <v>2257003.89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4371578.0599999996</v>
      </c>
      <c r="G663" s="19">
        <f>G659-SUM(G660:G662)</f>
        <v>0</v>
      </c>
      <c r="H663" s="19">
        <f>H659-SUM(H660:H662)</f>
        <v>21653.370000000112</v>
      </c>
      <c r="I663" s="19">
        <f>I659-SUM(I660:I662)</f>
        <v>4393231.43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348.28</v>
      </c>
      <c r="G664" s="249"/>
      <c r="H664" s="249"/>
      <c r="I664" s="19">
        <f>SUM(F664:H664)</f>
        <v>348.28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12551.91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12614.08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-21653.37</v>
      </c>
      <c r="I668" s="19">
        <f>SUM(F668:H668)</f>
        <v>-21653.37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12551.91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12551.91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GREENLAND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1540747.8699999999</v>
      </c>
      <c r="C9" s="230">
        <f>'DOE25'!G196+'DOE25'!G214+'DOE25'!G232+'DOE25'!G275+'DOE25'!G294+'DOE25'!G313</f>
        <v>573546.48</v>
      </c>
    </row>
    <row r="10" spans="1:3" x14ac:dyDescent="0.2">
      <c r="A10" t="s">
        <v>779</v>
      </c>
      <c r="B10" s="241">
        <v>1434577.49</v>
      </c>
      <c r="C10" s="241">
        <v>534029.13</v>
      </c>
    </row>
    <row r="11" spans="1:3" x14ac:dyDescent="0.2">
      <c r="A11" t="s">
        <v>780</v>
      </c>
      <c r="B11" s="241">
        <v>58620.89</v>
      </c>
      <c r="C11" s="241">
        <v>21794.77</v>
      </c>
    </row>
    <row r="12" spans="1:3" x14ac:dyDescent="0.2">
      <c r="A12" t="s">
        <v>781</v>
      </c>
      <c r="B12" s="241">
        <v>47549.49</v>
      </c>
      <c r="C12" s="241">
        <v>17722.580000000002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1540747.8699999999</v>
      </c>
      <c r="C13" s="232">
        <f>SUM(C10:C12)</f>
        <v>573546.48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526213.01</v>
      </c>
      <c r="C18" s="230">
        <f>'DOE25'!G197+'DOE25'!G215+'DOE25'!G233+'DOE25'!G276+'DOE25'!G295+'DOE25'!G314</f>
        <v>199454.21</v>
      </c>
    </row>
    <row r="19" spans="1:3" x14ac:dyDescent="0.2">
      <c r="A19" t="s">
        <v>779</v>
      </c>
      <c r="B19" s="241">
        <v>241942.39</v>
      </c>
      <c r="C19" s="241">
        <v>91709.05</v>
      </c>
    </row>
    <row r="20" spans="1:3" x14ac:dyDescent="0.2">
      <c r="A20" t="s">
        <v>780</v>
      </c>
      <c r="B20" s="241">
        <v>160301.01999999999</v>
      </c>
      <c r="C20" s="241">
        <v>60753.75</v>
      </c>
    </row>
    <row r="21" spans="1:3" x14ac:dyDescent="0.2">
      <c r="A21" t="s">
        <v>781</v>
      </c>
      <c r="B21" s="241">
        <v>123969.60000000001</v>
      </c>
      <c r="C21" s="241">
        <v>46991.41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526213.01</v>
      </c>
      <c r="C22" s="232">
        <f>SUM(C19:C21)</f>
        <v>199454.21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46425.39</v>
      </c>
      <c r="C36" s="236">
        <f>'DOE25'!G199+'DOE25'!G217+'DOE25'!G235+'DOE25'!G278+'DOE25'!G297+'DOE25'!G316</f>
        <v>3678.43</v>
      </c>
    </row>
    <row r="37" spans="1:3" x14ac:dyDescent="0.2">
      <c r="A37" t="s">
        <v>779</v>
      </c>
      <c r="B37" s="241">
        <v>8920.26</v>
      </c>
      <c r="C37" s="241">
        <v>706.62</v>
      </c>
    </row>
    <row r="38" spans="1:3" x14ac:dyDescent="0.2">
      <c r="A38" t="s">
        <v>780</v>
      </c>
      <c r="B38" s="241">
        <v>1269.53</v>
      </c>
      <c r="C38" s="241">
        <v>100.79</v>
      </c>
    </row>
    <row r="39" spans="1:3" x14ac:dyDescent="0.2">
      <c r="A39" t="s">
        <v>781</v>
      </c>
      <c r="B39" s="241">
        <v>36235.599999999999</v>
      </c>
      <c r="C39" s="241">
        <v>2871.02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46425.39</v>
      </c>
      <c r="C40" s="232">
        <f>SUM(C37:C39)</f>
        <v>3678.43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GREENLAND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5098306.7799999993</v>
      </c>
      <c r="D5" s="20">
        <f>SUM('DOE25'!L196:L199)+SUM('DOE25'!L214:L217)+SUM('DOE25'!L232:L235)-F5-G5</f>
        <v>5083308.419999999</v>
      </c>
      <c r="E5" s="244"/>
      <c r="F5" s="256">
        <f>SUM('DOE25'!J196:J199)+SUM('DOE25'!J214:J217)+SUM('DOE25'!J232:J235)</f>
        <v>14998.36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319294.39</v>
      </c>
      <c r="D6" s="20">
        <f>'DOE25'!L201+'DOE25'!L219+'DOE25'!L237-F6-G6</f>
        <v>319294.39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166642.76</v>
      </c>
      <c r="D7" s="20">
        <f>'DOE25'!L202+'DOE25'!L220+'DOE25'!L238-F7-G7</f>
        <v>133899.22</v>
      </c>
      <c r="E7" s="244"/>
      <c r="F7" s="256">
        <f>'DOE25'!J202+'DOE25'!J220+'DOE25'!J238</f>
        <v>30590.7</v>
      </c>
      <c r="G7" s="53">
        <f>'DOE25'!K202+'DOE25'!K220+'DOE25'!K238</f>
        <v>2152.84</v>
      </c>
      <c r="H7" s="260"/>
    </row>
    <row r="8" spans="1:9" x14ac:dyDescent="0.2">
      <c r="A8" s="32">
        <v>2300</v>
      </c>
      <c r="B8" t="s">
        <v>802</v>
      </c>
      <c r="C8" s="246">
        <f t="shared" si="0"/>
        <v>157548.4</v>
      </c>
      <c r="D8" s="244"/>
      <c r="E8" s="20">
        <f>'DOE25'!L203+'DOE25'!L221+'DOE25'!L239-F8-G8-D9-D11</f>
        <v>153337.19</v>
      </c>
      <c r="F8" s="256">
        <f>'DOE25'!J203+'DOE25'!J221+'DOE25'!J239</f>
        <v>0</v>
      </c>
      <c r="G8" s="53">
        <f>'DOE25'!K203+'DOE25'!K221+'DOE25'!K239</f>
        <v>4211.21</v>
      </c>
      <c r="H8" s="260"/>
    </row>
    <row r="9" spans="1:9" x14ac:dyDescent="0.2">
      <c r="A9" s="32">
        <v>2310</v>
      </c>
      <c r="B9" t="s">
        <v>818</v>
      </c>
      <c r="C9" s="246">
        <f t="shared" si="0"/>
        <v>18322.18</v>
      </c>
      <c r="D9" s="245">
        <v>18322.18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4950</v>
      </c>
      <c r="D10" s="244"/>
      <c r="E10" s="245">
        <v>4950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103600</v>
      </c>
      <c r="D11" s="245">
        <v>103600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230638.32</v>
      </c>
      <c r="D12" s="20">
        <f>'DOE25'!L204+'DOE25'!L222+'DOE25'!L240-F12-G12</f>
        <v>229005.37</v>
      </c>
      <c r="E12" s="244"/>
      <c r="F12" s="256">
        <f>'DOE25'!J204+'DOE25'!J222+'DOE25'!J240</f>
        <v>912.95</v>
      </c>
      <c r="G12" s="53">
        <f>'DOE25'!K204+'DOE25'!K222+'DOE25'!K240</f>
        <v>720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5720.03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5720.03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446905.14</v>
      </c>
      <c r="D14" s="20">
        <f>'DOE25'!L206+'DOE25'!L224+'DOE25'!L242-F14-G14</f>
        <v>425822.8</v>
      </c>
      <c r="E14" s="244"/>
      <c r="F14" s="256">
        <f>'DOE25'!J206+'DOE25'!J224+'DOE25'!J242</f>
        <v>21082.34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213681.67</v>
      </c>
      <c r="D15" s="20">
        <f>'DOE25'!L207+'DOE25'!L225+'DOE25'!L243-F15-G15</f>
        <v>213681.67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8902.619999999999</v>
      </c>
      <c r="D16" s="244"/>
      <c r="E16" s="20">
        <f>'DOE25'!L208+'DOE25'!L226+'DOE25'!L244-F16-G16</f>
        <v>8902.619999999999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32462.18</v>
      </c>
      <c r="D22" s="244"/>
      <c r="E22" s="244"/>
      <c r="F22" s="256">
        <f>'DOE25'!L254+'DOE25'!L335</f>
        <v>32462.18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482676.5</v>
      </c>
      <c r="D25" s="244"/>
      <c r="E25" s="244"/>
      <c r="F25" s="259"/>
      <c r="G25" s="257"/>
      <c r="H25" s="258">
        <f>'DOE25'!L259+'DOE25'!L260+'DOE25'!L340+'DOE25'!L341</f>
        <v>482676.5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94991.78</v>
      </c>
      <c r="D29" s="20">
        <f>'DOE25'!L357+'DOE25'!L358+'DOE25'!L359-'DOE25'!I366-F29-G29</f>
        <v>94991.78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61744.570000000007</v>
      </c>
      <c r="D31" s="20">
        <f>'DOE25'!L289+'DOE25'!L308+'DOE25'!L327+'DOE25'!L332+'DOE25'!L333+'DOE25'!L334-F31-G31</f>
        <v>60712.930000000008</v>
      </c>
      <c r="E31" s="244"/>
      <c r="F31" s="256">
        <f>'DOE25'!J289+'DOE25'!J308+'DOE25'!J327+'DOE25'!J332+'DOE25'!J333+'DOE25'!J334</f>
        <v>937</v>
      </c>
      <c r="G31" s="53">
        <f>'DOE25'!K289+'DOE25'!K308+'DOE25'!K327+'DOE25'!K332+'DOE25'!K333+'DOE25'!K334</f>
        <v>94.64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6682638.7599999979</v>
      </c>
      <c r="E33" s="247">
        <f>SUM(E5:E31)</f>
        <v>167189.81</v>
      </c>
      <c r="F33" s="247">
        <f>SUM(F5:F31)</f>
        <v>100983.53</v>
      </c>
      <c r="G33" s="247">
        <f>SUM(G5:G31)</f>
        <v>12898.72</v>
      </c>
      <c r="H33" s="247">
        <f>SUM(H5:H31)</f>
        <v>482676.5</v>
      </c>
    </row>
    <row r="35" spans="2:8" ht="12" thickBot="1" x14ac:dyDescent="0.25">
      <c r="B35" s="254" t="s">
        <v>847</v>
      </c>
      <c r="D35" s="255">
        <f>E33</f>
        <v>167189.81</v>
      </c>
      <c r="E35" s="250"/>
    </row>
    <row r="36" spans="2:8" ht="12" thickTop="1" x14ac:dyDescent="0.2">
      <c r="B36" t="s">
        <v>815</v>
      </c>
      <c r="D36" s="20">
        <f>D33</f>
        <v>6682638.7599999979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137274.85999999999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393144.09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13326.09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279.24</v>
      </c>
      <c r="D12" s="95">
        <f>'DOE25'!G13</f>
        <v>1955.48</v>
      </c>
      <c r="E12" s="95">
        <f>'DOE25'!H13</f>
        <v>11618.12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812.1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2738.68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151692.28999999998</v>
      </c>
      <c r="D18" s="41">
        <f>SUM(D8:D17)</f>
        <v>4694.16</v>
      </c>
      <c r="E18" s="41">
        <f>SUM(E8:E17)</f>
        <v>11618.12</v>
      </c>
      <c r="F18" s="41">
        <f>SUM(F8:F17)</f>
        <v>0</v>
      </c>
      <c r="G18" s="41">
        <f>SUM(G8:G17)</f>
        <v>393144.09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1707.97</v>
      </c>
      <c r="E21" s="95">
        <f>'DOE25'!H22</f>
        <v>11618.12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938.39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12238.37</v>
      </c>
      <c r="D23" s="95">
        <f>'DOE25'!G24</f>
        <v>247.51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12708.37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25885.13</v>
      </c>
      <c r="D31" s="41">
        <f>SUM(D21:D30)</f>
        <v>1955.48</v>
      </c>
      <c r="E31" s="41">
        <f>SUM(E21:E30)</f>
        <v>11618.12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2738.68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393144.09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125807.16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125807.16</v>
      </c>
      <c r="D49" s="41">
        <f>SUM(D34:D48)</f>
        <v>2738.68</v>
      </c>
      <c r="E49" s="41">
        <f>SUM(E34:E48)</f>
        <v>0</v>
      </c>
      <c r="F49" s="41">
        <f>SUM(F34:F48)</f>
        <v>0</v>
      </c>
      <c r="G49" s="41">
        <f>SUM(G34:G48)</f>
        <v>393144.09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151692.29</v>
      </c>
      <c r="D50" s="41">
        <f>D49+D31</f>
        <v>4694.16</v>
      </c>
      <c r="E50" s="41">
        <f>E49+E31</f>
        <v>11618.12</v>
      </c>
      <c r="F50" s="41">
        <f>F49+F31</f>
        <v>0</v>
      </c>
      <c r="G50" s="41">
        <f>G49+G31</f>
        <v>393144.09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5057494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1252.27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305.58999999999997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36.04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63727.46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27158.49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28716.350000000002</v>
      </c>
      <c r="D61" s="130">
        <f>SUM(D56:D60)</f>
        <v>63727.46</v>
      </c>
      <c r="E61" s="130">
        <f>SUM(E56:E60)</f>
        <v>0</v>
      </c>
      <c r="F61" s="130">
        <f>SUM(F56:F60)</f>
        <v>0</v>
      </c>
      <c r="G61" s="130">
        <f>SUM(G56:G60)</f>
        <v>36.04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5086210.3499999996</v>
      </c>
      <c r="D62" s="22">
        <f>D55+D61</f>
        <v>63727.46</v>
      </c>
      <c r="E62" s="22">
        <f>E55+E61</f>
        <v>0</v>
      </c>
      <c r="F62" s="22">
        <f>F55+F61</f>
        <v>0</v>
      </c>
      <c r="G62" s="22">
        <f>G55+G61</f>
        <v>36.04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489567.82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1432714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424.18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1922706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109954.73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1008.92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109954.73</v>
      </c>
      <c r="D77" s="130">
        <f>SUM(D71:D76)</f>
        <v>1008.92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2032660.73</v>
      </c>
      <c r="D80" s="130">
        <f>SUM(D78:D79)+D77+D69</f>
        <v>1008.92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21642.35</v>
      </c>
      <c r="D87" s="95">
        <f>SUM('DOE25'!G152:G160)</f>
        <v>12049.89</v>
      </c>
      <c r="E87" s="95">
        <f>SUM('DOE25'!H152:H160)</f>
        <v>61744.57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21642.35</v>
      </c>
      <c r="D90" s="131">
        <f>SUM(D84:D89)</f>
        <v>12049.89</v>
      </c>
      <c r="E90" s="131">
        <f>SUM(E84:E89)</f>
        <v>61744.57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19551.32</v>
      </c>
      <c r="E95" s="95">
        <f>'DOE25'!H178</f>
        <v>0</v>
      </c>
      <c r="F95" s="95">
        <f>'DOE25'!I178</f>
        <v>0</v>
      </c>
      <c r="G95" s="95">
        <f>'DOE25'!J178</f>
        <v>105400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19551.32</v>
      </c>
      <c r="E102" s="86">
        <f>SUM(E92:E101)</f>
        <v>0</v>
      </c>
      <c r="F102" s="86">
        <f>SUM(F92:F101)</f>
        <v>0</v>
      </c>
      <c r="G102" s="86">
        <f>SUM(G92:G101)</f>
        <v>105400</v>
      </c>
    </row>
    <row r="103" spans="1:7" ht="12.75" thickTop="1" thickBot="1" x14ac:dyDescent="0.25">
      <c r="A103" s="33" t="s">
        <v>765</v>
      </c>
      <c r="C103" s="86">
        <f>C62+C80+C90+C102</f>
        <v>7140513.4299999997</v>
      </c>
      <c r="D103" s="86">
        <f>D62+D80+D90+D102</f>
        <v>96337.59</v>
      </c>
      <c r="E103" s="86">
        <f>E62+E80+E90+E102</f>
        <v>61744.57</v>
      </c>
      <c r="F103" s="86">
        <f>F62+F80+F90+F102</f>
        <v>0</v>
      </c>
      <c r="G103" s="86">
        <f>G62+G80+G102</f>
        <v>105436.04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4221883.01</v>
      </c>
      <c r="D108" s="24" t="s">
        <v>289</v>
      </c>
      <c r="E108" s="95">
        <f>('DOE25'!L275)+('DOE25'!L294)+('DOE25'!L313)</f>
        <v>60712.930000000008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808780.48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67643.289999999994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5098306.78</v>
      </c>
      <c r="D114" s="86">
        <f>SUM(D108:D113)</f>
        <v>0</v>
      </c>
      <c r="E114" s="86">
        <f>SUM(E108:E113)</f>
        <v>60712.930000000008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319294.39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166642.76</v>
      </c>
      <c r="D118" s="24" t="s">
        <v>289</v>
      </c>
      <c r="E118" s="95">
        <f>+('DOE25'!L281)+('DOE25'!L300)+('DOE25'!L319)</f>
        <v>937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279470.58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230638.32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5720.03</v>
      </c>
      <c r="D121" s="24" t="s">
        <v>289</v>
      </c>
      <c r="E121" s="95">
        <f>+('DOE25'!L284)+('DOE25'!L303)+('DOE25'!L322)</f>
        <v>94.64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446905.14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213681.67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8902.619999999999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96337.59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1671255.5100000002</v>
      </c>
      <c r="D127" s="86">
        <f>SUM(D117:D126)</f>
        <v>96337.59</v>
      </c>
      <c r="E127" s="86">
        <f>SUM(E117:E126)</f>
        <v>1031.6400000000001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32462.18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157676.5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19551.32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105436.04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-36.039999999993597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640090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7409652.290000001</v>
      </c>
      <c r="D144" s="86">
        <f>(D114+D127+D143)</f>
        <v>96337.59</v>
      </c>
      <c r="E144" s="86">
        <f>(E114+E127+E143)</f>
        <v>61744.570000000007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6473515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4.4400000000000004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3870000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3870000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325000</v>
      </c>
    </row>
    <row r="158" spans="1:9" x14ac:dyDescent="0.2">
      <c r="A158" s="22" t="s">
        <v>35</v>
      </c>
      <c r="B158" s="137">
        <f>'DOE25'!F497</f>
        <v>3545000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3545000</v>
      </c>
    </row>
    <row r="159" spans="1:9" x14ac:dyDescent="0.2">
      <c r="A159" s="22" t="s">
        <v>36</v>
      </c>
      <c r="B159" s="137">
        <f>'DOE25'!F498</f>
        <v>935517.25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935517.25</v>
      </c>
    </row>
    <row r="160" spans="1:9" x14ac:dyDescent="0.2">
      <c r="A160" s="22" t="s">
        <v>37</v>
      </c>
      <c r="B160" s="137">
        <f>'DOE25'!F499</f>
        <v>4480517.25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4480517.25</v>
      </c>
    </row>
    <row r="161" spans="1:7" x14ac:dyDescent="0.2">
      <c r="A161" s="22" t="s">
        <v>38</v>
      </c>
      <c r="B161" s="137">
        <f>'DOE25'!F500</f>
        <v>325000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325000</v>
      </c>
    </row>
    <row r="162" spans="1:7" x14ac:dyDescent="0.2">
      <c r="A162" s="22" t="s">
        <v>39</v>
      </c>
      <c r="B162" s="137">
        <f>'DOE25'!F501</f>
        <v>155033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155033</v>
      </c>
    </row>
    <row r="163" spans="1:7" x14ac:dyDescent="0.2">
      <c r="A163" s="22" t="s">
        <v>246</v>
      </c>
      <c r="B163" s="137">
        <f>'DOE25'!F502</f>
        <v>480033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480033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GREENLAND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12552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12552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4282596</v>
      </c>
      <c r="D10" s="182">
        <f>ROUND((C10/$C$28)*100,1)</f>
        <v>61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808780</v>
      </c>
      <c r="D11" s="182">
        <f>ROUND((C11/$C$28)*100,1)</f>
        <v>11.5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67643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319294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167580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288373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230638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5815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446905</v>
      </c>
      <c r="D20" s="182">
        <f t="shared" si="0"/>
        <v>6.4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213682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157677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32610.54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7021593.54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32462</v>
      </c>
    </row>
    <row r="30" spans="1:4" x14ac:dyDescent="0.2">
      <c r="B30" s="187" t="s">
        <v>729</v>
      </c>
      <c r="C30" s="180">
        <f>SUM(C28:C29)</f>
        <v>7054055.54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325000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5057494</v>
      </c>
      <c r="D35" s="182">
        <f t="shared" ref="D35:D40" si="1">ROUND((C35/$C$41)*100,1)</f>
        <v>70.099999999999994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28752.389999999665</v>
      </c>
      <c r="D36" s="182">
        <f t="shared" si="1"/>
        <v>0.4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1922706</v>
      </c>
      <c r="D37" s="182">
        <f t="shared" si="1"/>
        <v>26.6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110964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95437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7215353.3899999997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GREENLAND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AP38:AZ38"/>
    <mergeCell ref="P39:Z39"/>
    <mergeCell ref="AC39:AM39"/>
    <mergeCell ref="AP39:AZ3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A2:E2"/>
    <mergeCell ref="C13:M13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19:M19"/>
    <mergeCell ref="C20:M20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61:M61"/>
    <mergeCell ref="C53:M53"/>
    <mergeCell ref="C54:M54"/>
    <mergeCell ref="C55:M55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2012-08-27T18:40:52Z</cp:lastPrinted>
  <dcterms:created xsi:type="dcterms:W3CDTF">1997-12-04T19:04:30Z</dcterms:created>
  <dcterms:modified xsi:type="dcterms:W3CDTF">2012-11-28T14:28:27Z</dcterms:modified>
</cp:coreProperties>
</file>