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C39" i="12" l="1"/>
  <c r="C37" i="12"/>
  <c r="B39" i="12"/>
  <c r="C21" i="12"/>
  <c r="C20" i="12"/>
  <c r="C19" i="12"/>
  <c r="B21" i="12"/>
  <c r="B10" i="12"/>
  <c r="C10" i="12"/>
  <c r="C11" i="12" s="1"/>
  <c r="B12" i="12"/>
  <c r="C12" i="12" l="1"/>
  <c r="H603" i="1"/>
  <c r="H203" i="1"/>
  <c r="I206" i="1"/>
  <c r="H233" i="1"/>
  <c r="H158" i="1"/>
  <c r="F95" i="1"/>
  <c r="F467" i="1"/>
  <c r="F439" i="1"/>
  <c r="F581" i="1"/>
  <c r="H581" i="1" s="1"/>
  <c r="H197" i="1"/>
  <c r="F56" i="1" l="1"/>
  <c r="H467" i="1"/>
  <c r="H471" i="1"/>
  <c r="K357" i="1"/>
  <c r="I357" i="1"/>
  <c r="F366" i="1" s="1"/>
  <c r="F357" i="1"/>
  <c r="H281" i="1"/>
  <c r="H280" i="1"/>
  <c r="I276" i="1"/>
  <c r="J276" i="1"/>
  <c r="H232" i="1"/>
  <c r="H196" i="1"/>
  <c r="H206" i="1"/>
  <c r="H204" i="1"/>
  <c r="H202" i="1"/>
  <c r="H201" i="1"/>
  <c r="G206" i="1"/>
  <c r="G202" i="1"/>
  <c r="H154" i="1"/>
  <c r="H153" i="1"/>
  <c r="H109" i="1"/>
  <c r="G96" i="1"/>
  <c r="G157" i="1"/>
  <c r="F24" i="1"/>
  <c r="F67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17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F61" i="2" s="1"/>
  <c r="F62" i="2" s="1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J475" i="1" s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J618" i="1" s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G652" i="1"/>
  <c r="H652" i="1"/>
  <c r="G653" i="1"/>
  <c r="H653" i="1"/>
  <c r="H654" i="1"/>
  <c r="J351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59" i="2"/>
  <c r="F31" i="2"/>
  <c r="C26" i="10"/>
  <c r="L327" i="1"/>
  <c r="H659" i="1" s="1"/>
  <c r="H663" i="1" s="1"/>
  <c r="L350" i="1"/>
  <c r="I661" i="1"/>
  <c r="L289" i="1"/>
  <c r="F659" i="1" s="1"/>
  <c r="A31" i="12"/>
  <c r="A40" i="12"/>
  <c r="G8" i="2"/>
  <c r="D61" i="2"/>
  <c r="D62" i="2" s="1"/>
  <c r="D18" i="13"/>
  <c r="C18" i="13" s="1"/>
  <c r="D7" i="13"/>
  <c r="D18" i="2"/>
  <c r="D17" i="13"/>
  <c r="C17" i="13" s="1"/>
  <c r="E8" i="13"/>
  <c r="C8" i="13" s="1"/>
  <c r="C90" i="2"/>
  <c r="F77" i="2"/>
  <c r="F80" i="2" s="1"/>
  <c r="D31" i="2"/>
  <c r="C127" i="2"/>
  <c r="C77" i="2"/>
  <c r="D49" i="2"/>
  <c r="G156" i="2"/>
  <c r="F49" i="2"/>
  <c r="F18" i="2"/>
  <c r="G160" i="2"/>
  <c r="G155" i="2"/>
  <c r="G102" i="2"/>
  <c r="C102" i="2"/>
  <c r="F90" i="2"/>
  <c r="C61" i="2"/>
  <c r="C62" i="2" s="1"/>
  <c r="C31" i="2"/>
  <c r="D29" i="13"/>
  <c r="C29" i="13" s="1"/>
  <c r="D14" i="13"/>
  <c r="C14" i="13" s="1"/>
  <c r="C7" i="13"/>
  <c r="J631" i="1" l="1"/>
  <c r="G163" i="2"/>
  <c r="G162" i="2"/>
  <c r="G161" i="2"/>
  <c r="G158" i="2"/>
  <c r="G157" i="2"/>
  <c r="F102" i="2"/>
  <c r="D90" i="2"/>
  <c r="C69" i="2"/>
  <c r="E61" i="2"/>
  <c r="E62" i="2" s="1"/>
  <c r="E49" i="2"/>
  <c r="E31" i="2"/>
  <c r="E18" i="2"/>
  <c r="C18" i="2"/>
  <c r="E143" i="2"/>
  <c r="F31" i="13"/>
  <c r="D19" i="13"/>
  <c r="C19" i="13" s="1"/>
  <c r="D15" i="13"/>
  <c r="C15" i="13" s="1"/>
  <c r="C18" i="10"/>
  <c r="D12" i="13"/>
  <c r="C12" i="13" s="1"/>
  <c r="D6" i="13"/>
  <c r="C6" i="13" s="1"/>
  <c r="E13" i="13"/>
  <c r="C13" i="13" s="1"/>
  <c r="J653" i="1"/>
  <c r="J652" i="1"/>
  <c r="J651" i="1"/>
  <c r="G570" i="1"/>
  <c r="I433" i="1"/>
  <c r="G433" i="1"/>
  <c r="I337" i="1"/>
  <c r="I351" i="1" s="1"/>
  <c r="G168" i="1"/>
  <c r="I139" i="1"/>
  <c r="G139" i="1"/>
  <c r="I662" i="1"/>
  <c r="G31" i="13"/>
  <c r="C20" i="10"/>
  <c r="F50" i="2"/>
  <c r="E90" i="2"/>
  <c r="J641" i="1"/>
  <c r="J616" i="1"/>
  <c r="E114" i="2"/>
  <c r="D102" i="2"/>
  <c r="F544" i="1"/>
  <c r="L523" i="1"/>
  <c r="C10" i="10"/>
  <c r="J648" i="1"/>
  <c r="G33" i="13"/>
  <c r="A22" i="12"/>
  <c r="D50" i="2"/>
  <c r="F139" i="1"/>
  <c r="G621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647" i="1"/>
  <c r="J647" i="1" s="1"/>
  <c r="G551" i="1"/>
  <c r="L433" i="1"/>
  <c r="G637" i="1" s="1"/>
  <c r="E50" i="2"/>
  <c r="J643" i="1"/>
  <c r="J642" i="1"/>
  <c r="H625" i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E103" i="2" l="1"/>
  <c r="C28" i="10"/>
  <c r="D27" i="10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6" i="10" l="1"/>
  <c r="D10" i="10"/>
  <c r="D21" i="10"/>
  <c r="D12" i="10"/>
  <c r="D20" i="10"/>
  <c r="D16" i="10"/>
  <c r="D13" i="10"/>
  <c r="D18" i="10"/>
  <c r="C30" i="10"/>
  <c r="D17" i="10"/>
  <c r="D15" i="10"/>
  <c r="D19" i="10"/>
  <c r="D24" i="10"/>
  <c r="D11" i="10"/>
  <c r="D23" i="10"/>
  <c r="D25" i="10"/>
  <c r="D22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<sst xmlns="http://schemas.openxmlformats.org/spreadsheetml/2006/main" count="3943" uniqueCount="910">
  <si>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</si>
  <si>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</si>
  <si>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</si>
  <si>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</si>
  <si>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</si>
  <si>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</si>
  <si>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</si>
  <si>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</si>
  <si>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</si>
  <si>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</si>
  <si>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</si>
  <si>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</si>
  <si>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</si>
  <si>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</si>
  <si>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</si>
  <si>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</si>
  <si>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</si>
  <si>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</si>
  <si>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</si>
  <si>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</si>
  <si>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</si>
  <si>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</si>
  <si>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</si>
  <si>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</si>
  <si>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</si>
  <si>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</si>
  <si>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</si>
  <si>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</si>
  <si>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</si>
  <si>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</si>
  <si>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</si>
  <si>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</si>
  <si>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</si>
  <si>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</si>
  <si>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</si>
  <si>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</si>
  <si>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</si>
  <si>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</si>
  <si>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</si>
  <si>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</si>
  <si>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</si>
  <si>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</si>
  <si>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</si>
  <si>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</si>
  <si>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</si>
  <si>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</si>
  <si>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</si>
  <si>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</si>
  <si>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</si>
  <si>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</si>
  <si>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</si>
  <si>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</si>
  <si>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</si>
  <si>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</si>
  <si>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</si>
  <si>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</si>
  <si>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</si>
  <si>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</si>
  <si>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</si>
  <si>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</si>
  <si>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</si>
  <si>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</si>
  <si>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</si>
  <si>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</si>
  <si>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</si>
  <si>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</si>
  <si>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</si>
  <si>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</si>
  <si>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</si>
  <si>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</si>
  <si>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</si>
  <si>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</si>
  <si>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</si>
  <si>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</si>
  <si>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</si>
  <si>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</si>
  <si>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</si>
  <si>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</si>
  <si>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</si>
  <si>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</si>
  <si>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</si>
  <si>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</si>
  <si>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</si>
  <si>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</si>
  <si>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</si>
  <si>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</si>
  <si>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</si>
  <si>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</si>
  <si>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</si>
  <si>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</si>
  <si>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</si>
  <si>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</si>
  <si>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</si>
  <si>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</si>
  <si>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</si>
  <si>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</si>
  <si>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</si>
  <si>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</si>
  <si>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</si>
  <si>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</si>
  <si>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</si>
  <si>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</si>
  <si>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</si>
  <si>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</si>
  <si>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</si>
  <si>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</si>
  <si>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</si>
  <si>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</si>
  <si>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</si>
  <si>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</si>
  <si>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</si>
  <si>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</si>
  <si>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</si>
  <si>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</si>
  <si>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</si>
  <si>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</si>
  <si>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</si>
  <si>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</si>
  <si>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</si>
  <si>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</si>
  <si>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</si>
  <si>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</si>
  <si>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</si>
  <si>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</si>
  <si>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</si>
  <si>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</si>
  <si>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</si>
  <si>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</si>
  <si>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</si>
  <si>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</si>
  <si>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</si>
  <si>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</si>
  <si>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</si>
  <si>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</si>
  <si>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</si>
  <si>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</si>
  <si>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</si>
  <si>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</si>
  <si>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</si>
  <si>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</si>
  <si>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</si>
  <si>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</si>
  <si>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</si>
  <si>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</si>
  <si>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</si>
  <si>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</si>
  <si>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</si>
  <si>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</si>
  <si>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</si>
  <si>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</si>
  <si>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</si>
  <si>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</si>
  <si>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</si>
  <si>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</si>
  <si>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</si>
  <si>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</si>
  <si>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</si>
  <si>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</si>
  <si>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</si>
  <si>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</si>
  <si>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</si>
  <si>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</si>
  <si>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</si>
  <si>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</si>
  <si>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</si>
  <si>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</si>
  <si>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</si>
  <si>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</si>
  <si>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</si>
  <si>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</si>
  <si>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</si>
  <si>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</si>
  <si>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</si>
  <si>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</si>
  <si>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</si>
  <si>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</si>
  <si>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</si>
  <si>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</si>
  <si>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</si>
  <si>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</si>
  <si>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</si>
  <si>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</si>
  <si>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</si>
  <si>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</si>
  <si>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</si>
  <si>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</si>
  <si>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</si>
  <si>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</si>
  <si>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</si>
  <si>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</si>
  <si>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</si>
  <si>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</si>
  <si>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</si>
  <si>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</si>
  <si>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</si>
  <si>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</si>
  <si>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</si>
  <si>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</si>
  <si>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</si>
  <si>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</si>
  <si>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</si>
  <si>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</si>
  <si>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</si>
  <si>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</si>
  <si>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</si>
  <si>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</si>
  <si>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</si>
  <si>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</si>
  <si>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</si>
  <si>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</si>
  <si>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</si>
  <si>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</si>
  <si>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</si>
  <si>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</si>
  <si>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</si>
  <si>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</si>
  <si>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</si>
  <si>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</si>
  <si>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</si>
  <si>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</si>
  <si>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</si>
  <si>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</si>
  <si>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</si>
  <si>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</si>
  <si>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</si>
  <si>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</si>
  <si>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</si>
  <si>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</si>
  <si>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</si>
  <si>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</si>
  <si>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</si>
  <si>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</si>
  <si>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</si>
  <si>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</si>
  <si>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</si>
  <si>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</si>
  <si>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</si>
  <si>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</si>
  <si>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</si>
  <si>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</si>
  <si>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</si>
  <si>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</si>
  <si>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</si>
  <si>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</si>
  <si>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</si>
  <si>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</si>
  <si>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</si>
  <si>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</si>
  <si>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</si>
  <si>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</si>
  <si>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</si>
  <si>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</si>
  <si>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</si>
  <si>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</si>
  <si>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</si>
  <si>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</si>
  <si>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</si>
  <si>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</si>
  <si>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</si>
  <si>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</si>
  <si>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</si>
  <si>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</si>
  <si>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</si>
  <si>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</si>
  <si>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</si>
  <si>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</si>
  <si>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</si>
  <si>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</si>
  <si>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</si>
  <si>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</si>
  <si>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</si>
  <si>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</si>
  <si>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</si>
  <si>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</si>
  <si>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</si>
  <si>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</si>
  <si>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</si>
  <si>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</si>
  <si>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</si>
  <si>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</si>
  <si>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</si>
  <si>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</si>
  <si>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</si>
  <si>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</si>
  <si>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</si>
  <si>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</si>
  <si>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</si>
  <si>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</si>
  <si>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</si>
  <si>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</si>
  <si>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</si>
  <si>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</si>
  <si>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</si>
  <si>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</si>
  <si>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</si>
  <si>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</si>
  <si>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</si>
  <si>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</si>
  <si>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</si>
  <si>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</si>
  <si>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</si>
  <si>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</si>
  <si>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</si>
  <si>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</si>
  <si>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</si>
  <si>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</si>
  <si>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</si>
  <si>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</si>
  <si>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</si>
  <si>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</si>
  <si>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</si>
  <si>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</si>
  <si>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</si>
  <si>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</si>
  <si>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</si>
  <si>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</si>
  <si>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</si>
  <si>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</si>
  <si>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</si>
  <si>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</si>
  <si>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</si>
  <si>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</si>
  <si>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</si>
  <si>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</si>
  <si>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</si>
  <si>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</si>
  <si>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</si>
  <si>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</si>
  <si>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</si>
  <si>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</si>
  <si>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</si>
  <si>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</si>
  <si>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</si>
  <si>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</si>
  <si>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</si>
  <si>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</si>
  <si>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</si>
  <si>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</si>
  <si>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</si>
  <si>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</si>
  <si>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</si>
  <si>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</si>
  <si>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</si>
  <si>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</si>
  <si>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</si>
  <si>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</si>
  <si>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</si>
  <si>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</si>
  <si>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</si>
  <si>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</si>
  <si>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</si>
  <si>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</si>
  <si>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</si>
  <si>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</si>
  <si>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</si>
  <si>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</si>
  <si>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</si>
  <si>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</si>
  <si>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</si>
  <si>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</si>
  <si>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</si>
  <si>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</si>
  <si>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</si>
  <si>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</si>
  <si>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</si>
  <si>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</si>
  <si>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</si>
  <si>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</si>
  <si>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</si>
  <si>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</si>
  <si>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</si>
  <si>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</si>
  <si>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</si>
  <si>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</si>
  <si>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</si>
  <si>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</si>
  <si>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</si>
  <si>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</si>
  <si>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</si>
  <si>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</si>
  <si>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</si>
  <si>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</si>
  <si>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</si>
  <si>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</si>
  <si>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</si>
  <si>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</si>
  <si>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</si>
  <si>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</si>
  <si>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</si>
  <si>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</si>
  <si>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</si>
  <si>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</si>
  <si>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</si>
  <si>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</si>
  <si>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</si>
  <si>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</si>
  <si>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</si>
  <si>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</si>
  <si>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</si>
  <si>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</si>
  <si>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</si>
  <si>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</si>
  <si>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</si>
  <si>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</si>
  <si>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</si>
  <si>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</si>
  <si>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</si>
  <si>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</si>
  <si>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</si>
  <si>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</si>
  <si>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</si>
  <si>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</si>
  <si>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</si>
  <si>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</si>
  <si>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</si>
  <si>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</si>
  <si>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</si>
  <si>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</si>
  <si>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</si>
  <si>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</si>
  <si>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</si>
  <si>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</si>
  <si>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</si>
  <si>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</si>
  <si>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</si>
  <si>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</si>
  <si>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</si>
  <si>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</si>
  <si>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</si>
  <si>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</si>
  <si>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</si>
  <si>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</si>
  <si>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</si>
  <si>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</si>
  <si>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</si>
  <si>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</si>
  <si>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</si>
  <si>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</si>
  <si>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</si>
  <si>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</si>
  <si>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</si>
  <si>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</si>
  <si>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</si>
  <si>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</si>
  <si>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</si>
  <si>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</si>
  <si>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</si>
  <si>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</si>
  <si>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</si>
  <si>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</si>
  <si>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</si>
  <si>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</si>
  <si>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</si>
  <si>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</si>
  <si>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</si>
  <si>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</si>
  <si>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</si>
  <si>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</si>
  <si>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</si>
  <si>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</si>
  <si>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</si>
  <si>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</si>
  <si>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</si>
  <si>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</si>
  <si>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</si>
  <si>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</si>
  <si>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</si>
  <si>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</si>
  <si>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</si>
  <si>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</si>
  <si>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</si>
  <si>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</si>
  <si>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</si>
  <si>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</si>
  <si>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</si>
  <si>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</si>
  <si>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</si>
  <si>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</si>
  <si>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</si>
  <si>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</si>
  <si>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</si>
  <si>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</si>
  <si>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</si>
  <si>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</si>
  <si>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</si>
  <si>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</si>
  <si>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</si>
  <si>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</si>
  <si>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</si>
  <si>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</si>
  <si>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</si>
  <si>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</si>
  <si>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</si>
  <si>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</si>
  <si>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</si>
  <si>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</si>
  <si>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</si>
  <si>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</si>
  <si>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</si>
  <si>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</si>
  <si>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</si>
  <si>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</si>
  <si>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</si>
  <si>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</si>
  <si>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</si>
  <si>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</si>
  <si>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</si>
  <si>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</si>
  <si>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</si>
  <si>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</si>
  <si>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</si>
  <si>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</si>
  <si>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</si>
  <si>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</si>
  <si>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</si>
  <si>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</si>
  <si>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</si>
  <si>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</si>
  <si>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</si>
  <si>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</si>
  <si>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</si>
  <si>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</si>
  <si>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</si>
  <si>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</si>
  <si>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</si>
  <si>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</si>
  <si>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</si>
  <si>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</si>
  <si>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</si>
  <si>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</si>
  <si>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</si>
  <si>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</si>
  <si>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</si>
  <si>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</si>
  <si>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</si>
  <si>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</si>
  <si>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</si>
  <si>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</si>
  <si>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</si>
  <si>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</si>
  <si>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</si>
  <si>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</si>
  <si>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</si>
  <si>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</si>
  <si>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</si>
  <si>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</si>
  <si>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</si>
  <si>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</si>
  <si>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</si>
  <si>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</si>
  <si>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</si>
  <si>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</si>
  <si>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</si>
  <si>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</si>
  <si>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</si>
  <si>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</si>
  <si>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</si>
  <si>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</si>
  <si>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</si>
  <si>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</si>
  <si>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</si>
  <si>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</si>
  <si>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</si>
  <si>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</si>
  <si>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</si>
  <si>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</si>
  <si>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</si>
  <si>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</si>
  <si>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</si>
  <si>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</si>
  <si>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</si>
  <si>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</si>
  <si>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</si>
  <si>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</si>
  <si>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</si>
  <si>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</si>
  <si>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</si>
  <si>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</si>
  <si>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</si>
  <si>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</si>
  <si>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</si>
  <si>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</si>
  <si>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</si>
  <si>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</si>
  <si>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</si>
  <si>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</si>
  <si>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</si>
  <si>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</si>
  <si>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</si>
  <si>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</si>
  <si>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</si>
  <si>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</si>
  <si>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</si>
  <si>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</si>
  <si>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</si>
  <si>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</si>
  <si>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</si>
  <si>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</si>
  <si>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</si>
  <si>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</si>
  <si>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</si>
  <si>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</si>
  <si>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</si>
  <si>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</si>
  <si>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</si>
  <si>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</si>
  <si>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</si>
  <si>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</si>
  <si>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</si>
  <si>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</si>
  <si>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</si>
  <si>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</si>
  <si>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</si>
  <si>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</si>
  <si>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</si>
  <si>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</si>
  <si>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</si>
  <si>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</si>
  <si>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</si>
  <si>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</si>
  <si>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</si>
  <si>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</si>
  <si>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</si>
  <si>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</si>
  <si>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</si>
  <si>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</si>
  <si>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</si>
  <si>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</si>
  <si>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</si>
  <si>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</si>
  <si>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</si>
  <si>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</si>
  <si>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</si>
  <si>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</si>
  <si>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</si>
  <si>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</si>
  <si>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</si>
  <si>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</si>
  <si>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</si>
  <si>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</si>
  <si>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</si>
  <si>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</si>
  <si>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</si>
  <si>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</si>
  <si>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</si>
  <si>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</si>
  <si>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</si>
  <si>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</si>
  <si>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</si>
  <si>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</si>
  <si>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</si>
  <si>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</si>
  <si>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</si>
  <si>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</si>
  <si>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</si>
  <si>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</si>
  <si>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</si>
  <si>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</si>
  <si>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</si>
  <si>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</si>
  <si>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</si>
  <si>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</si>
  <si>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</si>
  <si>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</si>
  <si>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</si>
  <si>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</si>
  <si>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</si>
  <si>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</si>
  <si>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</si>
  <si>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</si>
  <si>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</si>
  <si>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</si>
  <si>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</si>
  <si>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</si>
  <si>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</si>
  <si>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</si>
  <si>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</si>
  <si>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</si>
  <si>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</si>
  <si>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</si>
  <si>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</si>
  <si>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</si>
  <si>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</si>
  <si>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</si>
  <si>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</si>
  <si>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</si>
  <si>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</si>
  <si>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</si>
  <si>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</si>
  <si>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</si>
  <si>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</si>
  <si>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</si>
  <si>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</si>
  <si>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</si>
  <si>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</si>
  <si>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</si>
  <si>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</si>
  <si>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</si>
  <si>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</si>
  <si>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</si>
  <si>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</si>
  <si>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</si>
  <si>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</si>
  <si>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</si>
  <si>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</si>
  <si>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</si>
  <si>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</si>
  <si>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</si>
  <si>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</si>
  <si>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</si>
  <si>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</si>
  <si>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</si>
  <si>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</si>
  <si>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</si>
  <si>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</si>
  <si>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</si>
  <si>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</si>
  <si>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</si>
  <si>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</si>
  <si>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</si>
  <si>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</si>
  <si>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</si>
  <si>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</si>
  <si>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</si>
  <si>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</si>
  <si>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</si>
  <si>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</si>
  <si>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</si>
  <si>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</si>
  <si>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</si>
  <si>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</si>
  <si>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</si>
  <si>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</si>
  <si>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</si>
  <si>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</si>
  <si>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</si>
  <si>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</si>
  <si>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</si>
  <si>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</si>
  <si>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</si>
  <si>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</si>
  <si>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</si>
  <si>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</si>
  <si>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</si>
  <si>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</si>
  <si>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</si>
  <si>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</si>
  <si>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</si>
  <si>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</si>
  <si>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</si>
  <si>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</si>
  <si>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</si>
  <si>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</si>
  <si>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</si>
  <si>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</si>
  <si>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</si>
  <si>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</si>
  <si>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</si>
  <si>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</si>
  <si>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</si>
  <si>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</si>
  <si>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</si>
  <si>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</si>
  <si>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</si>
  <si>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</si>
  <si>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</si>
  <si>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</si>
  <si>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</si>
  <si>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</si>
  <si>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</si>
  <si>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</si>
  <si>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</si>
  <si>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</si>
  <si>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</si>
  <si>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</si>
  <si>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</si>
  <si>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</si>
  <si>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</si>
  <si>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</si>
  <si>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</si>
  <si>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</si>
  <si>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</si>
  <si>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</si>
  <si>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</si>
  <si>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</si>
  <si>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</si>
  <si>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</si>
  <si>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</si>
  <si>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</si>
  <si>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</si>
  <si>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</si>
  <si>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</si>
  <si>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</si>
  <si>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</si>
  <si>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</si>
  <si>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</si>
  <si>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</si>
  <si>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</si>
  <si>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</si>
  <si>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</si>
  <si>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</si>
  <si>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</si>
  <si>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</si>
  <si>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</si>
  <si>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</si>
  <si>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</si>
  <si>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</si>
  <si>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</si>
  <si>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</si>
  <si>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</si>
  <si>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</si>
  <si>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</si>
  <si>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</si>
  <si>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</si>
  <si>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</si>
  <si>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</si>
  <si>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</si>
  <si>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</si>
  <si>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</si>
  <si>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</si>
  <si>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</si>
  <si>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</si>
  <si>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</si>
  <si>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</si>
  <si>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</si>
  <si>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</si>
  <si>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</si>
  <si>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</si>
  <si>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</si>
  <si>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</si>
  <si>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</si>
  <si>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</si>
  <si>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</si>
  <si>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</si>
  <si>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</si>
  <si>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</si>
  <si>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</si>
  <si>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</si>
  <si>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</si>
  <si>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</si>
  <si>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</si>
  <si>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</si>
  <si>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</si>
  <si>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</si>
  <si>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</si>
  <si>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</si>
  <si>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</si>
  <si>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</si>
  <si>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</si>
  <si>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</si>
  <si>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</si>
  <si>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</si>
  <si>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</si>
  <si>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</si>
  <si>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</si>
  <si>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</si>
  <si>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</si>
  <si>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</si>
  <si>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</si>
  <si>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</si>
  <si>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</si>
  <si>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</si>
  <si>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</si>
  <si>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</si>
  <si>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</si>
  <si>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</si>
  <si>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</si>
  <si>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</si>
  <si>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</si>
  <si>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</si>
  <si>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</si>
  <si>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</si>
  <si>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</si>
  <si>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</si>
  <si>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</si>
  <si>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</si>
  <si>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</si>
  <si>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</si>
  <si>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</si>
  <si>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</si>
  <si>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</si>
  <si>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</si>
  <si>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</si>
  <si>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</si>
  <si>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</si>
  <si>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</si>
  <si>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</si>
  <si>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</si>
  <si>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</si>
  <si>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</si>
  <si>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</si>
  <si>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</si>
  <si>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</si>
  <si>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</si>
  <si>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</si>
  <si>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</si>
  <si>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</si>
  <si>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</si>
  <si>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</si>
  <si>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</si>
  <si>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</si>
  <si>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</si>
  <si>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</si>
  <si>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</si>
  <si>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</si>
  <si>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</si>
  <si>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</si>
  <si>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</si>
  <si>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</si>
  <si>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Hampstead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</si>
</sst>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" fontId="0" fillId="0" borderId="0" xfId="0" applyNumberForma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223</v>
      </c>
      <c r="C2" s="21">
        <v>223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1362515.55+525</f>
        <v>1363040.55</v>
      </c>
      <c r="G9" s="18">
        <v>39389.01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83840.259999999995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207365.53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2804.79</v>
      </c>
      <c r="H13" s="18">
        <v>179715.56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6152.97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3928.11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368.5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1570774.58</v>
      </c>
      <c r="G19" s="41">
        <f>SUM(G9:G18)</f>
        <v>52274.880000000005</v>
      </c>
      <c r="H19" s="41">
        <f>SUM(H9:H18)</f>
        <v>179715.56</v>
      </c>
      <c r="I19" s="41">
        <f>SUM(I9:I18)</f>
        <v>0</v>
      </c>
      <c r="J19" s="41">
        <f>SUM(J9:J18)</f>
        <v>83840.259999999995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39039.410000000003</v>
      </c>
      <c r="H22" s="18">
        <v>168326.12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109772.08+1738.82</f>
        <v>111510.90000000001</v>
      </c>
      <c r="G24" s="18">
        <v>7258.87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60882.84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8200</v>
      </c>
      <c r="G30" s="18">
        <v>5976.6</v>
      </c>
      <c r="H30" s="18">
        <v>11389.44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180593.74</v>
      </c>
      <c r="G32" s="41">
        <f>SUM(G22:G31)</f>
        <v>52274.880000000005</v>
      </c>
      <c r="H32" s="41">
        <f>SUM(H22:H31)</f>
        <v>179715.56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91672.85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83840.259999999995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1223507.99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1390180.84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83840.259999999995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1570774.58</v>
      </c>
      <c r="G51" s="41">
        <f>G50+G32</f>
        <v>52274.880000000005</v>
      </c>
      <c r="H51" s="41">
        <f>H50+H32</f>
        <v>179715.56</v>
      </c>
      <c r="I51" s="41">
        <f>I50+I32</f>
        <v>0</v>
      </c>
      <c r="J51" s="41">
        <f>J50+J32</f>
        <v>83840.259999999995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17710658-2302546</f>
        <v>15408112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15408112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51253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5070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68655+14200</f>
        <v>82855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15600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154778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2172.13-585.53</f>
        <v>1586.6000000000001</v>
      </c>
      <c r="G95" s="18">
        <v>20.48</v>
      </c>
      <c r="H95" s="18"/>
      <c r="I95" s="18"/>
      <c r="J95" s="18">
        <v>585.53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129989+4713+70657.18+16931+20446.84+8760-20359.39</f>
        <v>231137.63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740.21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50.99</v>
      </c>
      <c r="G109" s="18"/>
      <c r="H109" s="18">
        <f>-54.86+5225.38+500+4249.5+5118.66</f>
        <v>15038.68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2377.8000000000002</v>
      </c>
      <c r="G110" s="41">
        <f>SUM(G95:G109)</f>
        <v>231158.11000000002</v>
      </c>
      <c r="H110" s="41">
        <f>SUM(H95:H109)</f>
        <v>15038.68</v>
      </c>
      <c r="I110" s="41">
        <f>SUM(I95:I109)</f>
        <v>0</v>
      </c>
      <c r="J110" s="41">
        <f>SUM(J95:J109)</f>
        <v>585.53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15565267.800000001</v>
      </c>
      <c r="G111" s="41">
        <f>G59+G110</f>
        <v>231158.11000000002</v>
      </c>
      <c r="H111" s="41">
        <f>H59+H78+H93+H110</f>
        <v>15038.68</v>
      </c>
      <c r="I111" s="41">
        <f>I59+I110</f>
        <v>0</v>
      </c>
      <c r="J111" s="41">
        <f>J59+J110</f>
        <v>585.53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3432097.32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2302546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2973.68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13294.28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5750911.2800000003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414244.51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3180.71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414244.51</v>
      </c>
      <c r="G135" s="41">
        <f>SUM(G122:G134)</f>
        <v>3180.71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6165155.79</v>
      </c>
      <c r="G139" s="41">
        <f>G120+SUM(G135:G136)</f>
        <v>3180.71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516.13+1096.19+46076.73</f>
        <v>47689.05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8051.65+2034.29+21003.21</f>
        <v>31089.149999999998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42142.28+18197.66</f>
        <v>60339.94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372.9+240067.39+8418.3+9999.26</f>
        <v>258857.85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219412.7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125261.54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219412.7</v>
      </c>
      <c r="G161" s="41">
        <f>SUM(G149:G160)</f>
        <v>60339.94</v>
      </c>
      <c r="H161" s="41">
        <f>SUM(H149:H160)</f>
        <v>462897.58999999997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219412.7</v>
      </c>
      <c r="G168" s="41">
        <f>G146+G161+SUM(G162:G167)</f>
        <v>60339.94</v>
      </c>
      <c r="H168" s="41">
        <f>H146+H161+SUM(H162:H167)</f>
        <v>462897.58999999997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20359.39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20359.39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20359.39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21949836.289999999</v>
      </c>
      <c r="G192" s="47">
        <f>G111+G139+G168+G191</f>
        <v>315038.15000000002</v>
      </c>
      <c r="H192" s="47">
        <f>H111+H139+H168+H191</f>
        <v>477936.26999999996</v>
      </c>
      <c r="I192" s="47">
        <f>I111+I139+I168+I191</f>
        <v>0</v>
      </c>
      <c r="J192" s="47">
        <f>J111+J139+J191</f>
        <v>585.53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4428517.8600000003</v>
      </c>
      <c r="G196" s="18">
        <v>2193633.15</v>
      </c>
      <c r="H196" s="18">
        <f>4730015.91+32561.76+8732-4705267.14-24071.18</f>
        <v>41971.35000000026</v>
      </c>
      <c r="I196" s="18">
        <v>162804.54999999999</v>
      </c>
      <c r="J196" s="18">
        <v>146791.14000000001</v>
      </c>
      <c r="K196" s="18">
        <v>13984.25</v>
      </c>
      <c r="L196" s="19">
        <f>SUM(F196:K196)</f>
        <v>6987702.2999999998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2085876.5</v>
      </c>
      <c r="G197" s="18">
        <v>1042824.39</v>
      </c>
      <c r="H197" s="18">
        <f>46097.52+2613.62+1784183.8-H233</f>
        <v>182502.04000000004</v>
      </c>
      <c r="I197" s="18">
        <v>7576.12</v>
      </c>
      <c r="J197" s="18">
        <v>2066.81</v>
      </c>
      <c r="K197" s="18">
        <v>2073.5100000000002</v>
      </c>
      <c r="L197" s="19">
        <f>SUM(F197:K197)</f>
        <v>3322919.37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47047.61</v>
      </c>
      <c r="G199" s="18">
        <v>23304.68</v>
      </c>
      <c r="H199" s="18">
        <v>6933</v>
      </c>
      <c r="I199" s="18">
        <v>5711.39</v>
      </c>
      <c r="J199" s="18">
        <v>2730.64</v>
      </c>
      <c r="K199" s="18">
        <v>4307.63</v>
      </c>
      <c r="L199" s="19">
        <f>SUM(F199:K199)</f>
        <v>90034.950000000012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720902.94</v>
      </c>
      <c r="G201" s="18">
        <v>357093.87</v>
      </c>
      <c r="H201" s="18">
        <f>2748.24+193.95+500</f>
        <v>3442.1899999999996</v>
      </c>
      <c r="I201" s="18">
        <v>9593.24</v>
      </c>
      <c r="J201" s="18">
        <v>1049.9100000000001</v>
      </c>
      <c r="K201" s="18">
        <v>3434.4</v>
      </c>
      <c r="L201" s="19">
        <f t="shared" ref="L201:L207" si="0">SUM(F201:K201)</f>
        <v>1095516.5499999998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110699.65</v>
      </c>
      <c r="G202" s="18">
        <f>66272.6+54834.24</f>
        <v>121106.84</v>
      </c>
      <c r="H202" s="18">
        <f>23254.85+19199.68</f>
        <v>42454.53</v>
      </c>
      <c r="I202" s="18">
        <v>15208.48</v>
      </c>
      <c r="J202" s="18">
        <v>2265.81</v>
      </c>
      <c r="K202" s="18">
        <v>0</v>
      </c>
      <c r="L202" s="19">
        <f t="shared" si="0"/>
        <v>291735.31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5250</v>
      </c>
      <c r="G203" s="18">
        <v>2600.5500000000002</v>
      </c>
      <c r="H203" s="18">
        <f>248503.92</f>
        <v>248503.92</v>
      </c>
      <c r="I203" s="18">
        <v>691.5</v>
      </c>
      <c r="J203" s="18">
        <v>0</v>
      </c>
      <c r="K203" s="18">
        <v>13784.22</v>
      </c>
      <c r="L203" s="19">
        <f t="shared" si="0"/>
        <v>270830.19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591480.19999999995</v>
      </c>
      <c r="G204" s="18">
        <v>292985.28999999998</v>
      </c>
      <c r="H204" s="18">
        <f>3158.11+22172.09</f>
        <v>25330.2</v>
      </c>
      <c r="I204" s="18">
        <v>4425.8999999999996</v>
      </c>
      <c r="J204" s="18">
        <v>602.62</v>
      </c>
      <c r="K204" s="18">
        <v>5069.93</v>
      </c>
      <c r="L204" s="19">
        <f t="shared" si="0"/>
        <v>919894.14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542877.15</v>
      </c>
      <c r="G206" s="18">
        <f>8385.33+268910.13</f>
        <v>277295.46000000002</v>
      </c>
      <c r="H206" s="18">
        <f>17109.4+82503.47+49009</f>
        <v>148621.87</v>
      </c>
      <c r="I206" s="18">
        <f>286441.91+2189</f>
        <v>288630.90999999997</v>
      </c>
      <c r="J206" s="18">
        <v>4773.84</v>
      </c>
      <c r="K206" s="18">
        <v>5307.67</v>
      </c>
      <c r="L206" s="19">
        <f t="shared" si="0"/>
        <v>1267506.9000000001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537047.14</v>
      </c>
      <c r="I207" s="18"/>
      <c r="J207" s="18"/>
      <c r="K207" s="18"/>
      <c r="L207" s="19">
        <f t="shared" si="0"/>
        <v>537047.14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5420</v>
      </c>
      <c r="I208" s="18"/>
      <c r="J208" s="18"/>
      <c r="K208" s="18"/>
      <c r="L208" s="19">
        <f>SUM(F208:K208)</f>
        <v>5420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8532651.9100000001</v>
      </c>
      <c r="G210" s="41">
        <f t="shared" si="1"/>
        <v>4310844.2300000004</v>
      </c>
      <c r="H210" s="41">
        <f t="shared" si="1"/>
        <v>1242226.2400000002</v>
      </c>
      <c r="I210" s="41">
        <f t="shared" si="1"/>
        <v>494642.08999999997</v>
      </c>
      <c r="J210" s="41">
        <f t="shared" si="1"/>
        <v>160280.77000000002</v>
      </c>
      <c r="K210" s="41">
        <f t="shared" si="1"/>
        <v>47961.61</v>
      </c>
      <c r="L210" s="41">
        <f t="shared" si="1"/>
        <v>14788606.85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4705267.14+24071.18</f>
        <v>4729338.3199999994</v>
      </c>
      <c r="I232" s="18"/>
      <c r="J232" s="18"/>
      <c r="K232" s="18"/>
      <c r="L232" s="19">
        <f>SUM(F232:K232)</f>
        <v>4729338.3199999994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72328.710000000006</v>
      </c>
      <c r="G233" s="18">
        <v>26226.39</v>
      </c>
      <c r="H233" s="18">
        <f>852466.99+806146.96+120871.5-31517.28-97575.27</f>
        <v>1650392.9</v>
      </c>
      <c r="I233" s="18"/>
      <c r="J233" s="18"/>
      <c r="K233" s="18"/>
      <c r="L233" s="19">
        <f>SUM(F233:K233)</f>
        <v>1748948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85536.3</v>
      </c>
      <c r="I239" s="18"/>
      <c r="J239" s="18"/>
      <c r="K239" s="18"/>
      <c r="L239" s="19">
        <f t="shared" si="4"/>
        <v>85536.3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271139.06</v>
      </c>
      <c r="I243" s="18"/>
      <c r="J243" s="18"/>
      <c r="K243" s="18"/>
      <c r="L243" s="19">
        <f t="shared" si="4"/>
        <v>271139.06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72328.710000000006</v>
      </c>
      <c r="G246" s="41">
        <f t="shared" si="5"/>
        <v>26226.39</v>
      </c>
      <c r="H246" s="41">
        <f t="shared" si="5"/>
        <v>6736406.5799999982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6834961.6799999988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9424.08</v>
      </c>
      <c r="G252" s="18">
        <v>4668.1499999999996</v>
      </c>
      <c r="H252" s="18"/>
      <c r="I252" s="18">
        <v>1854.13</v>
      </c>
      <c r="J252" s="18"/>
      <c r="K252" s="18"/>
      <c r="L252" s="19">
        <f t="shared" si="6"/>
        <v>15946.36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269058.53999999998</v>
      </c>
      <c r="I254" s="18"/>
      <c r="J254" s="18"/>
      <c r="K254" s="18"/>
      <c r="L254" s="19">
        <f t="shared" si="6"/>
        <v>269058.53999999998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9424.08</v>
      </c>
      <c r="G255" s="41">
        <f t="shared" si="7"/>
        <v>4668.1499999999996</v>
      </c>
      <c r="H255" s="41">
        <f t="shared" si="7"/>
        <v>269058.53999999998</v>
      </c>
      <c r="I255" s="41">
        <f t="shared" si="7"/>
        <v>1854.13</v>
      </c>
      <c r="J255" s="41">
        <f t="shared" si="7"/>
        <v>0</v>
      </c>
      <c r="K255" s="41">
        <f t="shared" si="7"/>
        <v>0</v>
      </c>
      <c r="L255" s="41">
        <f>SUM(F255:K255)</f>
        <v>285004.89999999997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8614404.7000000011</v>
      </c>
      <c r="G256" s="41">
        <f t="shared" si="8"/>
        <v>4341738.7700000005</v>
      </c>
      <c r="H256" s="41">
        <f t="shared" si="8"/>
        <v>8247691.3599999985</v>
      </c>
      <c r="I256" s="41">
        <f t="shared" si="8"/>
        <v>496496.22</v>
      </c>
      <c r="J256" s="41">
        <f t="shared" si="8"/>
        <v>160280.77000000002</v>
      </c>
      <c r="K256" s="41">
        <f t="shared" si="8"/>
        <v>47961.61</v>
      </c>
      <c r="L256" s="41">
        <f t="shared" si="8"/>
        <v>21908573.429999996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20359.39</v>
      </c>
      <c r="L262" s="19">
        <f>SUM(F262:K262)</f>
        <v>20359.39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20359.39</v>
      </c>
      <c r="L269" s="41">
        <f t="shared" si="9"/>
        <v>20359.39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8614404.7000000011</v>
      </c>
      <c r="G270" s="42">
        <f t="shared" si="11"/>
        <v>4341738.7700000005</v>
      </c>
      <c r="H270" s="42">
        <f t="shared" si="11"/>
        <v>8247691.3599999985</v>
      </c>
      <c r="I270" s="42">
        <f t="shared" si="11"/>
        <v>496496.22</v>
      </c>
      <c r="J270" s="42">
        <f t="shared" si="11"/>
        <v>160280.77000000002</v>
      </c>
      <c r="K270" s="42">
        <f t="shared" si="11"/>
        <v>68321</v>
      </c>
      <c r="L270" s="42">
        <f t="shared" si="11"/>
        <v>21928932.819999997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159224.81</v>
      </c>
      <c r="G275" s="18">
        <v>14668.46</v>
      </c>
      <c r="H275" s="18">
        <v>628.16999999999996</v>
      </c>
      <c r="I275" s="18">
        <v>702.46</v>
      </c>
      <c r="J275" s="18">
        <v>4987.5</v>
      </c>
      <c r="K275" s="18">
        <v>4380.66</v>
      </c>
      <c r="L275" s="19">
        <f>SUM(F275:K275)</f>
        <v>184592.06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215485.63</v>
      </c>
      <c r="G276" s="18">
        <v>16685.939999999999</v>
      </c>
      <c r="H276" s="18"/>
      <c r="I276" s="18">
        <f>4059+56.11</f>
        <v>4115.1099999999997</v>
      </c>
      <c r="J276" s="18">
        <f>6910.12+7971.9</f>
        <v>14882.02</v>
      </c>
      <c r="K276" s="18"/>
      <c r="L276" s="19">
        <f>SUM(F276:K276)</f>
        <v>251168.69999999998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4417.8999999999996</v>
      </c>
      <c r="G280" s="18"/>
      <c r="H280" s="18">
        <f>6400</f>
        <v>6400</v>
      </c>
      <c r="I280" s="18">
        <v>823.48</v>
      </c>
      <c r="J280" s="18"/>
      <c r="K280" s="18">
        <v>1200</v>
      </c>
      <c r="L280" s="19">
        <f t="shared" ref="L280:L286" si="12">SUM(F280:K280)</f>
        <v>12841.38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1971.25+26228.59+300</f>
        <v>28499.84</v>
      </c>
      <c r="I281" s="18">
        <v>834.29</v>
      </c>
      <c r="J281" s="18"/>
      <c r="K281" s="18"/>
      <c r="L281" s="19">
        <f t="shared" si="12"/>
        <v>29334.13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379128.34</v>
      </c>
      <c r="G289" s="42">
        <f t="shared" si="13"/>
        <v>31354.399999999998</v>
      </c>
      <c r="H289" s="42">
        <f t="shared" si="13"/>
        <v>35528.01</v>
      </c>
      <c r="I289" s="42">
        <f t="shared" si="13"/>
        <v>6475.3399999999992</v>
      </c>
      <c r="J289" s="42">
        <f t="shared" si="13"/>
        <v>19869.52</v>
      </c>
      <c r="K289" s="42">
        <f t="shared" si="13"/>
        <v>5580.66</v>
      </c>
      <c r="L289" s="41">
        <f t="shared" si="13"/>
        <v>477936.27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379128.34</v>
      </c>
      <c r="G337" s="41">
        <f t="shared" si="20"/>
        <v>31354.399999999998</v>
      </c>
      <c r="H337" s="41">
        <f t="shared" si="20"/>
        <v>35528.01</v>
      </c>
      <c r="I337" s="41">
        <f t="shared" si="20"/>
        <v>6475.3399999999992</v>
      </c>
      <c r="J337" s="41">
        <f t="shared" si="20"/>
        <v>19869.52</v>
      </c>
      <c r="K337" s="41">
        <f t="shared" si="20"/>
        <v>5580.66</v>
      </c>
      <c r="L337" s="41">
        <f t="shared" si="20"/>
        <v>477936.27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379128.34</v>
      </c>
      <c r="G351" s="41">
        <f>G337</f>
        <v>31354.399999999998</v>
      </c>
      <c r="H351" s="41">
        <f>H337</f>
        <v>35528.01</v>
      </c>
      <c r="I351" s="41">
        <f>I337</f>
        <v>6475.3399999999992</v>
      </c>
      <c r="J351" s="41">
        <f>J337</f>
        <v>19869.52</v>
      </c>
      <c r="K351" s="47">
        <f>K337+K350</f>
        <v>5580.66</v>
      </c>
      <c r="L351" s="41">
        <f>L337+L350</f>
        <v>477936.27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37495.48+16483.58+1350</f>
        <v>55329.060000000005</v>
      </c>
      <c r="G357" s="18">
        <v>4157.1899999999996</v>
      </c>
      <c r="H357" s="18">
        <v>234118.87</v>
      </c>
      <c r="I357" s="18">
        <f>16534.41-307.13</f>
        <v>16227.28</v>
      </c>
      <c r="J357" s="18"/>
      <c r="K357" s="18">
        <f>5048.75+157</f>
        <v>5205.75</v>
      </c>
      <c r="L357" s="13">
        <f>SUM(F357:K357)</f>
        <v>315038.15000000002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55329.060000000005</v>
      </c>
      <c r="G361" s="47">
        <f t="shared" si="22"/>
        <v>4157.1899999999996</v>
      </c>
      <c r="H361" s="47">
        <f t="shared" si="22"/>
        <v>234118.87</v>
      </c>
      <c r="I361" s="47">
        <f t="shared" si="22"/>
        <v>16227.28</v>
      </c>
      <c r="J361" s="47">
        <f t="shared" si="22"/>
        <v>0</v>
      </c>
      <c r="K361" s="47">
        <f t="shared" si="22"/>
        <v>5205.75</v>
      </c>
      <c r="L361" s="47">
        <f t="shared" si="22"/>
        <v>315038.15000000002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I357</f>
        <v>16227.28</v>
      </c>
      <c r="G366" s="18"/>
      <c r="H366" s="18"/>
      <c r="I366" s="56">
        <f>SUM(F366:H366)</f>
        <v>16227.28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16227.28</v>
      </c>
      <c r="G368" s="47">
        <f>SUM(G366:G367)</f>
        <v>0</v>
      </c>
      <c r="H368" s="47">
        <f>SUM(H366:H367)</f>
        <v>0</v>
      </c>
      <c r="I368" s="47">
        <f>SUM(I366:I367)</f>
        <v>16227.28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585.53</v>
      </c>
      <c r="I387" s="18"/>
      <c r="J387" s="24" t="s">
        <v>289</v>
      </c>
      <c r="K387" s="24" t="s">
        <v>289</v>
      </c>
      <c r="L387" s="56">
        <f t="shared" si="25"/>
        <v>585.53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585.53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585.53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585.53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585.53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83840.26</f>
        <v>83840.259999999995</v>
      </c>
      <c r="G439" s="18"/>
      <c r="H439" s="18"/>
      <c r="I439" s="56">
        <f t="shared" si="33"/>
        <v>83840.259999999995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83840.259999999995</v>
      </c>
      <c r="G445" s="13">
        <f>SUM(G438:G444)</f>
        <v>0</v>
      </c>
      <c r="H445" s="13">
        <f>SUM(H438:H444)</f>
        <v>0</v>
      </c>
      <c r="I445" s="13">
        <f>SUM(I438:I444)</f>
        <v>83840.259999999995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83840.259999999995</v>
      </c>
      <c r="G458" s="18"/>
      <c r="H458" s="18"/>
      <c r="I458" s="56">
        <f t="shared" si="34"/>
        <v>83840.259999999995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83840.259999999995</v>
      </c>
      <c r="G459" s="83">
        <f>SUM(G453:G458)</f>
        <v>0</v>
      </c>
      <c r="H459" s="83">
        <f>SUM(H453:H458)</f>
        <v>0</v>
      </c>
      <c r="I459" s="83">
        <f>SUM(I453:I458)</f>
        <v>83840.259999999995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83840.259999999995</v>
      </c>
      <c r="G460" s="42">
        <f>G451+G459</f>
        <v>0</v>
      </c>
      <c r="H460" s="42">
        <f>H451+H459</f>
        <v>0</v>
      </c>
      <c r="I460" s="42">
        <f>I451+I459</f>
        <v>83840.259999999995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1369277.37</v>
      </c>
      <c r="G464" s="18">
        <v>0</v>
      </c>
      <c r="H464" s="18">
        <v>0</v>
      </c>
      <c r="I464" s="18"/>
      <c r="J464" s="271">
        <v>83254.73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21950421.82-585.53</f>
        <v>21949836.289999999</v>
      </c>
      <c r="G467" s="18">
        <v>315038.15000000002</v>
      </c>
      <c r="H467" s="18">
        <f>467937.01+9999.26</f>
        <v>477936.27</v>
      </c>
      <c r="I467" s="18"/>
      <c r="J467" s="18">
        <f>585.53</f>
        <v>585.53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21949836.289999999</v>
      </c>
      <c r="G469" s="53">
        <f>SUM(G467:G468)</f>
        <v>315038.15000000002</v>
      </c>
      <c r="H469" s="53">
        <f>SUM(H467:H468)</f>
        <v>477936.27</v>
      </c>
      <c r="I469" s="53">
        <f>SUM(I467:I468)</f>
        <v>0</v>
      </c>
      <c r="J469" s="53">
        <f>SUM(J467:J468)</f>
        <v>585.53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21928932.82</v>
      </c>
      <c r="G471" s="18">
        <v>315038.15000000002</v>
      </c>
      <c r="H471" s="18">
        <f>9999.26+467937.01</f>
        <v>477936.27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21928932.82</v>
      </c>
      <c r="G473" s="53">
        <f>SUM(G471:G472)</f>
        <v>315038.15000000002</v>
      </c>
      <c r="H473" s="53">
        <f>SUM(H471:H472)</f>
        <v>477936.27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1390180.8399999999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83840.259999999995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2172039.5</v>
      </c>
      <c r="G520" s="18">
        <v>985850.24</v>
      </c>
      <c r="H520" s="18">
        <v>1034969.03</v>
      </c>
      <c r="I520" s="18">
        <v>10983.36</v>
      </c>
      <c r="J520" s="18">
        <v>16948.830000000002</v>
      </c>
      <c r="K520" s="18">
        <v>2073.5100000000002</v>
      </c>
      <c r="L520" s="88">
        <f>SUM(F520:K520)</f>
        <v>4222864.4700000007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49923.01</v>
      </c>
      <c r="G522" s="18">
        <v>15127.89</v>
      </c>
      <c r="H522" s="18">
        <v>797925.91</v>
      </c>
      <c r="I522" s="18"/>
      <c r="J522" s="18"/>
      <c r="K522" s="18"/>
      <c r="L522" s="88">
        <f>SUM(F522:K522)</f>
        <v>862976.81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2221962.5099999998</v>
      </c>
      <c r="G523" s="108">
        <f t="shared" ref="G523:L523" si="36">SUM(G520:G522)</f>
        <v>1000978.13</v>
      </c>
      <c r="H523" s="108">
        <f t="shared" si="36"/>
        <v>1832894.94</v>
      </c>
      <c r="I523" s="108">
        <f t="shared" si="36"/>
        <v>10983.36</v>
      </c>
      <c r="J523" s="108">
        <f t="shared" si="36"/>
        <v>16948.830000000002</v>
      </c>
      <c r="K523" s="108">
        <f t="shared" si="36"/>
        <v>2073.5100000000002</v>
      </c>
      <c r="L523" s="89">
        <f t="shared" si="36"/>
        <v>5085841.2800000012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372541.79</v>
      </c>
      <c r="G525" s="18">
        <v>184535.78</v>
      </c>
      <c r="H525" s="18"/>
      <c r="I525" s="18">
        <v>3160.21</v>
      </c>
      <c r="J525" s="18">
        <v>683.99</v>
      </c>
      <c r="K525" s="18">
        <v>3434.4</v>
      </c>
      <c r="L525" s="88">
        <f>SUM(F525:K525)</f>
        <v>564356.16999999993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372541.79</v>
      </c>
      <c r="G528" s="89">
        <f t="shared" ref="G528:L528" si="37">SUM(G525:G527)</f>
        <v>184535.78</v>
      </c>
      <c r="H528" s="89">
        <f t="shared" si="37"/>
        <v>0</v>
      </c>
      <c r="I528" s="89">
        <f t="shared" si="37"/>
        <v>3160.21</v>
      </c>
      <c r="J528" s="89">
        <f t="shared" si="37"/>
        <v>683.99</v>
      </c>
      <c r="K528" s="89">
        <f t="shared" si="37"/>
        <v>3434.4</v>
      </c>
      <c r="L528" s="89">
        <f t="shared" si="37"/>
        <v>564356.16999999993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201651.34</v>
      </c>
      <c r="G530" s="18">
        <v>99886.48</v>
      </c>
      <c r="H530" s="18"/>
      <c r="I530" s="18">
        <v>707.87</v>
      </c>
      <c r="J530" s="18"/>
      <c r="K530" s="18"/>
      <c r="L530" s="88">
        <f>SUM(F530:K530)</f>
        <v>302245.69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22405.7</v>
      </c>
      <c r="G532" s="18">
        <v>11098.5</v>
      </c>
      <c r="H532" s="18"/>
      <c r="I532" s="18"/>
      <c r="J532" s="18"/>
      <c r="K532" s="18"/>
      <c r="L532" s="88">
        <f>SUM(F532:K532)</f>
        <v>33504.199999999997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224057.04</v>
      </c>
      <c r="G533" s="89">
        <f t="shared" ref="G533:L533" si="38">SUM(G530:G532)</f>
        <v>110984.98</v>
      </c>
      <c r="H533" s="89">
        <f t="shared" si="38"/>
        <v>0</v>
      </c>
      <c r="I533" s="89">
        <f t="shared" si="38"/>
        <v>707.87</v>
      </c>
      <c r="J533" s="89">
        <f t="shared" si="38"/>
        <v>0</v>
      </c>
      <c r="K533" s="89">
        <f t="shared" si="38"/>
        <v>0</v>
      </c>
      <c r="L533" s="89">
        <f t="shared" si="38"/>
        <v>335749.89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11200</v>
      </c>
      <c r="I537" s="18"/>
      <c r="J537" s="18"/>
      <c r="K537" s="18"/>
      <c r="L537" s="88">
        <f>SUM(F537:K537)</f>
        <v>11200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11200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11200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194146.53</v>
      </c>
      <c r="I540" s="18"/>
      <c r="J540" s="18"/>
      <c r="K540" s="18"/>
      <c r="L540" s="88">
        <f>SUM(F540:K540)</f>
        <v>194146.53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83205.649999999994</v>
      </c>
      <c r="I542" s="18"/>
      <c r="J542" s="18"/>
      <c r="K542" s="18"/>
      <c r="L542" s="88">
        <f>SUM(F542:K542)</f>
        <v>83205.649999999994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277352.18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277352.18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2818561.34</v>
      </c>
      <c r="G544" s="89">
        <f t="shared" ref="G544:L544" si="41">G523+G528+G533+G538+G543</f>
        <v>1296498.8899999999</v>
      </c>
      <c r="H544" s="89">
        <f t="shared" si="41"/>
        <v>2121447.12</v>
      </c>
      <c r="I544" s="89">
        <f t="shared" si="41"/>
        <v>14851.44</v>
      </c>
      <c r="J544" s="89">
        <f t="shared" si="41"/>
        <v>17632.820000000003</v>
      </c>
      <c r="K544" s="89">
        <f t="shared" si="41"/>
        <v>5507.91</v>
      </c>
      <c r="L544" s="89">
        <f t="shared" si="41"/>
        <v>6274499.5200000005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4222864.4700000007</v>
      </c>
      <c r="G548" s="87">
        <f>L525</f>
        <v>564356.16999999993</v>
      </c>
      <c r="H548" s="87">
        <f>L530</f>
        <v>302245.69</v>
      </c>
      <c r="I548" s="87">
        <f>L535</f>
        <v>0</v>
      </c>
      <c r="J548" s="87">
        <f>L540</f>
        <v>194146.53</v>
      </c>
      <c r="K548" s="87">
        <f>SUM(F548:J548)</f>
        <v>5283612.8600000013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862976.81</v>
      </c>
      <c r="G550" s="87">
        <f>L527</f>
        <v>0</v>
      </c>
      <c r="H550" s="87">
        <f>L532</f>
        <v>33504.199999999997</v>
      </c>
      <c r="I550" s="87">
        <f>L537</f>
        <v>11200</v>
      </c>
      <c r="J550" s="87">
        <f>L542</f>
        <v>83205.649999999994</v>
      </c>
      <c r="K550" s="87">
        <f>SUM(F550:J550)</f>
        <v>990886.66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5085841.2800000012</v>
      </c>
      <c r="G551" s="89">
        <f t="shared" si="42"/>
        <v>564356.16999999993</v>
      </c>
      <c r="H551" s="89">
        <f t="shared" si="42"/>
        <v>335749.89</v>
      </c>
      <c r="I551" s="89">
        <f t="shared" si="42"/>
        <v>11200</v>
      </c>
      <c r="J551" s="89">
        <f t="shared" si="42"/>
        <v>277352.18</v>
      </c>
      <c r="K551" s="89">
        <f t="shared" si="42"/>
        <v>6274499.5200000014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24071.18</v>
      </c>
      <c r="I574" s="87">
        <f>SUM(F574:H574)</f>
        <v>24071.18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4705267.1399999997</v>
      </c>
      <c r="I576" s="87">
        <f t="shared" si="47"/>
        <v>4705267.1399999997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852466.99</v>
      </c>
      <c r="I580" s="87">
        <f t="shared" si="47"/>
        <v>852466.99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97575.27+31517.28</f>
        <v>129092.55</v>
      </c>
      <c r="G581" s="18"/>
      <c r="H581" s="18">
        <f>806146.96-F581</f>
        <v>677054.40999999992</v>
      </c>
      <c r="I581" s="87">
        <f t="shared" si="47"/>
        <v>806146.96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120871.5</v>
      </c>
      <c r="I582" s="87">
        <f t="shared" si="47"/>
        <v>120871.5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332222.87</v>
      </c>
      <c r="I590" s="18"/>
      <c r="J590" s="18">
        <v>187933.41</v>
      </c>
      <c r="K590" s="104">
        <f t="shared" ref="K590:K596" si="48">SUM(H590:J590)</f>
        <v>520156.28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194146.53</v>
      </c>
      <c r="I591" s="18"/>
      <c r="J591" s="18">
        <v>83205.649999999994</v>
      </c>
      <c r="K591" s="104">
        <f t="shared" si="48"/>
        <v>277352.18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8910.2999999999993</v>
      </c>
      <c r="I593" s="18"/>
      <c r="J593" s="18"/>
      <c r="K593" s="104">
        <f t="shared" si="48"/>
        <v>8910.2999999999993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1767.44</v>
      </c>
      <c r="I594" s="18"/>
      <c r="J594" s="18"/>
      <c r="K594" s="104">
        <f t="shared" si="48"/>
        <v>1767.44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537047.14</v>
      </c>
      <c r="I597" s="108">
        <f>SUM(I590:I596)</f>
        <v>0</v>
      </c>
      <c r="J597" s="108">
        <f>SUM(J590:J596)</f>
        <v>271139.06</v>
      </c>
      <c r="K597" s="108">
        <f>SUM(K590:K596)</f>
        <v>808186.2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160280.77+7971.9+11897.62</f>
        <v>180150.28999999998</v>
      </c>
      <c r="I603" s="18"/>
      <c r="J603" s="18"/>
      <c r="K603" s="104">
        <f>SUM(H603:J603)</f>
        <v>180150.28999999998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180150.28999999998</v>
      </c>
      <c r="I604" s="108">
        <f>SUM(I601:I603)</f>
        <v>0</v>
      </c>
      <c r="J604" s="108">
        <f>SUM(J601:J603)</f>
        <v>0</v>
      </c>
      <c r="K604" s="108">
        <f>SUM(K601:K603)</f>
        <v>180150.28999999998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1570774.58</v>
      </c>
      <c r="H616" s="109">
        <f>SUM(F51)</f>
        <v>1570774.58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52274.880000000005</v>
      </c>
      <c r="H617" s="109">
        <f>SUM(G51)</f>
        <v>52274.880000000005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179715.56</v>
      </c>
      <c r="H618" s="109">
        <f>SUM(H51)</f>
        <v>179715.56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83840.259999999995</v>
      </c>
      <c r="H620" s="109">
        <f>SUM(J51)</f>
        <v>83840.259999999995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1390180.84</v>
      </c>
      <c r="H621" s="109">
        <f>F475</f>
        <v>1390180.8399999999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83840.259999999995</v>
      </c>
      <c r="H625" s="109">
        <f>J475</f>
        <v>83840.259999999995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21949836.289999999</v>
      </c>
      <c r="H626" s="104">
        <f>SUM(F467)</f>
        <v>21949836.289999999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315038.15000000002</v>
      </c>
      <c r="H627" s="104">
        <f>SUM(G467)</f>
        <v>315038.15000000002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477936.26999999996</v>
      </c>
      <c r="H628" s="104">
        <f>SUM(H467)</f>
        <v>477936.27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585.53</v>
      </c>
      <c r="H630" s="104">
        <f>SUM(J467)</f>
        <v>585.53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21928932.819999997</v>
      </c>
      <c r="H631" s="104">
        <f>SUM(F471)</f>
        <v>21928932.82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477936.27</v>
      </c>
      <c r="H632" s="104">
        <f>SUM(H471)</f>
        <v>477936.27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16227.28</v>
      </c>
      <c r="H633" s="104">
        <f>I368</f>
        <v>16227.28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315038.15000000002</v>
      </c>
      <c r="H634" s="104">
        <f>SUM(G471)</f>
        <v>315038.15000000002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585.53</v>
      </c>
      <c r="H636" s="164">
        <f>SUM(J467)</f>
        <v>585.53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83840.259999999995</v>
      </c>
      <c r="H638" s="104">
        <f>SUM(F460)</f>
        <v>83840.259999999995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83840.259999999995</v>
      </c>
      <c r="H641" s="104">
        <f>SUM(I460)</f>
        <v>83840.259999999995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585.53</v>
      </c>
      <c r="H643" s="104">
        <f>H407</f>
        <v>585.53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585.53</v>
      </c>
      <c r="H645" s="104">
        <f>L407</f>
        <v>585.53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808186.2</v>
      </c>
      <c r="H646" s="104">
        <f>L207+L225+L243</f>
        <v>808186.2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180150.28999999998</v>
      </c>
      <c r="H647" s="104">
        <f>(J256+J337)-(J254+J335)</f>
        <v>180150.29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537047.14</v>
      </c>
      <c r="H648" s="104">
        <f>H597</f>
        <v>537047.14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271139.06</v>
      </c>
      <c r="H650" s="104">
        <f>J597</f>
        <v>271139.06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20359.39</v>
      </c>
      <c r="H651" s="104">
        <f>K262+K344</f>
        <v>20359.39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15581581.27</v>
      </c>
      <c r="G659" s="19">
        <f>(L228+L308+L358)</f>
        <v>0</v>
      </c>
      <c r="H659" s="19">
        <f>(L246+L327+L359)</f>
        <v>6834961.6799999988</v>
      </c>
      <c r="I659" s="19">
        <f>SUM(F659:H659)</f>
        <v>22416542.949999999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231137.63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231137.63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537047.14</v>
      </c>
      <c r="G661" s="19">
        <f>(L225+L305)-(J225+J305)</f>
        <v>0</v>
      </c>
      <c r="H661" s="19">
        <f>(L243+L324)-(J243+J324)</f>
        <v>271139.06</v>
      </c>
      <c r="I661" s="19">
        <f>SUM(F661:H661)</f>
        <v>808186.2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309242.83999999997</v>
      </c>
      <c r="G662" s="200">
        <f>SUM(G574:G586)+SUM(I601:I603)+L611</f>
        <v>0</v>
      </c>
      <c r="H662" s="200">
        <f>SUM(H574:H586)+SUM(J601:J603)+L612</f>
        <v>6379731.2199999997</v>
      </c>
      <c r="I662" s="19">
        <f>SUM(F662:H662)</f>
        <v>6688974.0599999996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14504153.66</v>
      </c>
      <c r="G663" s="19">
        <f>G659-SUM(G660:G662)</f>
        <v>0</v>
      </c>
      <c r="H663" s="19">
        <f>H659-SUM(H660:H662)</f>
        <v>184091.39999999944</v>
      </c>
      <c r="I663" s="19">
        <f>I659-SUM(I660:I662)</f>
        <v>14688245.059999999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868.01</v>
      </c>
      <c r="G664" s="249"/>
      <c r="H664" s="249"/>
      <c r="I664" s="19">
        <f>SUM(F664:H664)</f>
        <v>868.01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16709.66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16921.75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-184091.4</v>
      </c>
      <c r="I668" s="19">
        <f>SUM(F668:H668)</f>
        <v>-184091.4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16709.66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16709.66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Hampstead School District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4587742.67</v>
      </c>
      <c r="C9" s="230">
        <f>'DOE25'!G196+'DOE25'!G214+'DOE25'!G232+'DOE25'!G275+'DOE25'!G294+'DOE25'!G313</f>
        <v>2208301.61</v>
      </c>
    </row>
    <row r="10" spans="1:3">
      <c r="A10" t="s">
        <v>779</v>
      </c>
      <c r="B10" s="241">
        <f>4120300.11</f>
        <v>4120300.11</v>
      </c>
      <c r="C10" s="241">
        <f>B10/B9*C9</f>
        <v>1983298.9818925867</v>
      </c>
    </row>
    <row r="11" spans="1:3">
      <c r="A11" t="s">
        <v>780</v>
      </c>
      <c r="B11" s="241">
        <v>192007.5</v>
      </c>
      <c r="C11" s="241">
        <f>B11/B10*C10</f>
        <v>92422.461738045793</v>
      </c>
    </row>
    <row r="12" spans="1:3">
      <c r="A12" t="s">
        <v>781</v>
      </c>
      <c r="B12" s="241">
        <f>B9-B10-B11</f>
        <v>275435.06000000006</v>
      </c>
      <c r="C12" s="241">
        <f>C9-C10-C11</f>
        <v>132580.16636936739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4587742.67</v>
      </c>
      <c r="C13" s="232">
        <f>SUM(C10:C12)</f>
        <v>2208301.61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2373690.84</v>
      </c>
      <c r="C18" s="230">
        <f>'DOE25'!G197+'DOE25'!G215+'DOE25'!G233+'DOE25'!G276+'DOE25'!G295+'DOE25'!G314</f>
        <v>1085736.72</v>
      </c>
    </row>
    <row r="19" spans="1:3">
      <c r="A19" t="s">
        <v>779</v>
      </c>
      <c r="B19" s="241">
        <v>1311224.51</v>
      </c>
      <c r="C19" s="241">
        <f>B19/B18*C18</f>
        <v>599759.90751643432</v>
      </c>
    </row>
    <row r="20" spans="1:3">
      <c r="A20" t="s">
        <v>780</v>
      </c>
      <c r="B20" s="241">
        <v>791213.84</v>
      </c>
      <c r="C20" s="241">
        <f>B20/B19*C19</f>
        <v>361904.72027107154</v>
      </c>
    </row>
    <row r="21" spans="1:3">
      <c r="A21" t="s">
        <v>781</v>
      </c>
      <c r="B21" s="241">
        <f>B18-B19-B20</f>
        <v>271252.48999999987</v>
      </c>
      <c r="C21" s="241">
        <f>C18-C19-C20</f>
        <v>124072.09221249411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2373690.84</v>
      </c>
      <c r="C22" s="232">
        <f>SUM(C19:C21)</f>
        <v>1085736.72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47047.61</v>
      </c>
      <c r="C36" s="236">
        <f>'DOE25'!G199+'DOE25'!G217+'DOE25'!G235+'DOE25'!G278+'DOE25'!G297+'DOE25'!G316</f>
        <v>23304.68</v>
      </c>
    </row>
    <row r="37" spans="1:3">
      <c r="A37" t="s">
        <v>779</v>
      </c>
      <c r="B37" s="241">
        <v>43947.61</v>
      </c>
      <c r="C37" s="241">
        <f>B37/B36*C36</f>
        <v>21769.118299841375</v>
      </c>
    </row>
    <row r="38" spans="1:3">
      <c r="A38" t="s">
        <v>780</v>
      </c>
      <c r="B38" s="241">
        <v>0</v>
      </c>
      <c r="C38" s="241"/>
    </row>
    <row r="39" spans="1:3">
      <c r="A39" t="s">
        <v>781</v>
      </c>
      <c r="B39" s="241">
        <f>B36-B37</f>
        <v>3100</v>
      </c>
      <c r="C39" s="241">
        <f>C36-C37</f>
        <v>1535.5617001586252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47047.61</v>
      </c>
      <c r="C40" s="232">
        <f>SUM(C37:C39)</f>
        <v>23304.68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opLeftCell="B1" workbookViewId="0">
      <pane ySplit="4" topLeftCell="A26" activePane="bottomLeft" state="frozen"/>
      <selection pane="bottomLeft" sqref="A1:H5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>Hampstead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16878942.939999998</v>
      </c>
      <c r="D5" s="20">
        <f>SUM('DOE25'!L196:L199)+SUM('DOE25'!L214:L217)+SUM('DOE25'!L232:L235)-F5-G5</f>
        <v>16706988.959999997</v>
      </c>
      <c r="E5" s="244"/>
      <c r="F5" s="256">
        <f>SUM('DOE25'!J196:J199)+SUM('DOE25'!J214:J217)+SUM('DOE25'!J232:J235)</f>
        <v>151588.59000000003</v>
      </c>
      <c r="G5" s="53">
        <f>SUM('DOE25'!K196:K199)+SUM('DOE25'!K214:K217)+SUM('DOE25'!K232:K235)</f>
        <v>20365.39</v>
      </c>
      <c r="H5" s="260"/>
    </row>
    <row r="6" spans="1:9">
      <c r="A6" s="32">
        <v>2100</v>
      </c>
      <c r="B6" t="s">
        <v>801</v>
      </c>
      <c r="C6" s="246">
        <f t="shared" si="0"/>
        <v>1095516.5499999998</v>
      </c>
      <c r="D6" s="20">
        <f>'DOE25'!L201+'DOE25'!L219+'DOE25'!L237-F6-G6</f>
        <v>1091032.24</v>
      </c>
      <c r="E6" s="244"/>
      <c r="F6" s="256">
        <f>'DOE25'!J201+'DOE25'!J219+'DOE25'!J237</f>
        <v>1049.9100000000001</v>
      </c>
      <c r="G6" s="53">
        <f>'DOE25'!K201+'DOE25'!K219+'DOE25'!K237</f>
        <v>3434.4</v>
      </c>
      <c r="H6" s="260"/>
    </row>
    <row r="7" spans="1:9">
      <c r="A7" s="32">
        <v>2200</v>
      </c>
      <c r="B7" t="s">
        <v>834</v>
      </c>
      <c r="C7" s="246">
        <f t="shared" si="0"/>
        <v>291735.31</v>
      </c>
      <c r="D7" s="20">
        <f>'DOE25'!L202+'DOE25'!L220+'DOE25'!L238-F7-G7</f>
        <v>289469.5</v>
      </c>
      <c r="E7" s="244"/>
      <c r="F7" s="256">
        <f>'DOE25'!J202+'DOE25'!J220+'DOE25'!J238</f>
        <v>2265.81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265536.21000000002</v>
      </c>
      <c r="D8" s="244"/>
      <c r="E8" s="20">
        <f>'DOE25'!L203+'DOE25'!L221+'DOE25'!L239-F8-G8-D9-D11</f>
        <v>251751.99000000002</v>
      </c>
      <c r="F8" s="256">
        <f>'DOE25'!J203+'DOE25'!J221+'DOE25'!J239</f>
        <v>0</v>
      </c>
      <c r="G8" s="53">
        <f>'DOE25'!K203+'DOE25'!K221+'DOE25'!K239</f>
        <v>13784.22</v>
      </c>
      <c r="H8" s="260"/>
    </row>
    <row r="9" spans="1:9">
      <c r="A9" s="32">
        <v>2310</v>
      </c>
      <c r="B9" t="s">
        <v>818</v>
      </c>
      <c r="C9" s="246">
        <f t="shared" si="0"/>
        <v>4000</v>
      </c>
      <c r="D9" s="245">
        <v>4000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14700</v>
      </c>
      <c r="D10" s="244"/>
      <c r="E10" s="245">
        <v>14700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86830.28</v>
      </c>
      <c r="D11" s="245">
        <v>86830.28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919894.14</v>
      </c>
      <c r="D12" s="20">
        <f>'DOE25'!L204+'DOE25'!L222+'DOE25'!L240-F12-G12</f>
        <v>914221.59</v>
      </c>
      <c r="E12" s="244"/>
      <c r="F12" s="256">
        <f>'DOE25'!J204+'DOE25'!J222+'DOE25'!J240</f>
        <v>602.62</v>
      </c>
      <c r="G12" s="53">
        <f>'DOE25'!K204+'DOE25'!K222+'DOE25'!K240</f>
        <v>5069.93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1267506.9000000001</v>
      </c>
      <c r="D14" s="20">
        <f>'DOE25'!L206+'DOE25'!L224+'DOE25'!L242-F14-G14</f>
        <v>1257425.3900000001</v>
      </c>
      <c r="E14" s="244"/>
      <c r="F14" s="256">
        <f>'DOE25'!J206+'DOE25'!J224+'DOE25'!J242</f>
        <v>4773.84</v>
      </c>
      <c r="G14" s="53">
        <f>'DOE25'!K206+'DOE25'!K224+'DOE25'!K242</f>
        <v>5307.67</v>
      </c>
      <c r="H14" s="260"/>
    </row>
    <row r="15" spans="1:9">
      <c r="A15" s="32">
        <v>2700</v>
      </c>
      <c r="B15" t="s">
        <v>804</v>
      </c>
      <c r="C15" s="246">
        <f t="shared" si="0"/>
        <v>808186.2</v>
      </c>
      <c r="D15" s="20">
        <f>'DOE25'!L207+'DOE25'!L225+'DOE25'!L243-F15-G15</f>
        <v>808186.2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5420</v>
      </c>
      <c r="D16" s="244"/>
      <c r="E16" s="20">
        <f>'DOE25'!L208+'DOE25'!L226+'DOE25'!L244-F16-G16</f>
        <v>5420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15946.36</v>
      </c>
      <c r="D19" s="20">
        <f>'DOE25'!L252-F19-G19</f>
        <v>15946.36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269058.53999999998</v>
      </c>
      <c r="D22" s="244"/>
      <c r="E22" s="244"/>
      <c r="F22" s="256">
        <f>'DOE25'!L254+'DOE25'!L335</f>
        <v>269058.53999999998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298810.87</v>
      </c>
      <c r="D29" s="20">
        <f>'DOE25'!L357+'DOE25'!L358+'DOE25'!L359-'DOE25'!I366-F29-G29</f>
        <v>293605.12</v>
      </c>
      <c r="E29" s="244"/>
      <c r="F29" s="256">
        <f>'DOE25'!J357+'DOE25'!J358+'DOE25'!J359</f>
        <v>0</v>
      </c>
      <c r="G29" s="53">
        <f>'DOE25'!K357+'DOE25'!K358+'DOE25'!K359</f>
        <v>5205.75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477936.27</v>
      </c>
      <c r="D31" s="20">
        <f>'DOE25'!L289+'DOE25'!L308+'DOE25'!L327+'DOE25'!L332+'DOE25'!L333+'DOE25'!L334-F31-G31</f>
        <v>452486.09</v>
      </c>
      <c r="E31" s="244"/>
      <c r="F31" s="256">
        <f>'DOE25'!J289+'DOE25'!J308+'DOE25'!J327+'DOE25'!J332+'DOE25'!J333+'DOE25'!J334</f>
        <v>19869.52</v>
      </c>
      <c r="G31" s="53">
        <f>'DOE25'!K289+'DOE25'!K308+'DOE25'!K327+'DOE25'!K332+'DOE25'!K333+'DOE25'!K334</f>
        <v>5580.66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21920191.729999997</v>
      </c>
      <c r="E33" s="247">
        <f>SUM(E5:E31)</f>
        <v>271871.99</v>
      </c>
      <c r="F33" s="247">
        <f>SUM(F5:F31)</f>
        <v>449208.83</v>
      </c>
      <c r="G33" s="247">
        <f>SUM(G5:G31)</f>
        <v>58748.020000000004</v>
      </c>
      <c r="H33" s="247">
        <f>SUM(H5:H31)</f>
        <v>0</v>
      </c>
    </row>
    <row r="35" spans="2:8" ht="12" thickBot="1">
      <c r="B35" s="254" t="s">
        <v>847</v>
      </c>
      <c r="D35" s="255">
        <f>E33</f>
        <v>271871.99</v>
      </c>
      <c r="E35" s="250"/>
    </row>
    <row r="36" spans="2:8" ht="12" thickTop="1">
      <c r="B36" t="s">
        <v>815</v>
      </c>
      <c r="D36" s="20">
        <f>D33</f>
        <v>21920191.729999997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Hampstead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1363040.55</v>
      </c>
      <c r="D8" s="95">
        <f>'DOE25'!G9</f>
        <v>39389.01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83840.259999999995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207365.53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2804.79</v>
      </c>
      <c r="E12" s="95">
        <f>'DOE25'!H13</f>
        <v>179715.56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6152.97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3928.11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368.5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1570774.58</v>
      </c>
      <c r="D18" s="41">
        <f>SUM(D8:D17)</f>
        <v>52274.880000000005</v>
      </c>
      <c r="E18" s="41">
        <f>SUM(E8:E17)</f>
        <v>179715.56</v>
      </c>
      <c r="F18" s="41">
        <f>SUM(F8:F17)</f>
        <v>0</v>
      </c>
      <c r="G18" s="41">
        <f>SUM(G8:G17)</f>
        <v>83840.259999999995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39039.410000000003</v>
      </c>
      <c r="E21" s="95">
        <f>'DOE25'!H22</f>
        <v>168326.12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111510.90000000001</v>
      </c>
      <c r="D23" s="95">
        <f>'DOE25'!G24</f>
        <v>7258.87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60882.84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8200</v>
      </c>
      <c r="D29" s="95">
        <f>'DOE25'!G30</f>
        <v>5976.6</v>
      </c>
      <c r="E29" s="95">
        <f>'DOE25'!H30</f>
        <v>11389.44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180593.74</v>
      </c>
      <c r="D31" s="41">
        <f>SUM(D21:D30)</f>
        <v>52274.880000000005</v>
      </c>
      <c r="E31" s="41">
        <f>SUM(E21:E30)</f>
        <v>179715.56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91672.85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83840.259999999995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1223507.99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1390180.84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83840.259999999995</v>
      </c>
      <c r="H49" s="124"/>
      <c r="I49" s="124"/>
    </row>
    <row r="50" spans="1:9" ht="12" thickTop="1">
      <c r="A50" s="38" t="s">
        <v>895</v>
      </c>
      <c r="B50" s="2"/>
      <c r="C50" s="41">
        <f>C49+C31</f>
        <v>1570774.58</v>
      </c>
      <c r="D50" s="41">
        <f>D49+D31</f>
        <v>52274.880000000005</v>
      </c>
      <c r="E50" s="41">
        <f>E49+E31</f>
        <v>179715.56</v>
      </c>
      <c r="F50" s="41">
        <f>F49+F31</f>
        <v>0</v>
      </c>
      <c r="G50" s="41">
        <f>G49+G31</f>
        <v>83840.259999999995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15408112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154778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1586.6000000000001</v>
      </c>
      <c r="D58" s="95">
        <f>'DOE25'!G95</f>
        <v>20.48</v>
      </c>
      <c r="E58" s="95">
        <f>'DOE25'!H95</f>
        <v>0</v>
      </c>
      <c r="F58" s="95">
        <f>'DOE25'!I95</f>
        <v>0</v>
      </c>
      <c r="G58" s="95">
        <f>'DOE25'!J95</f>
        <v>585.53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231137.63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791.2</v>
      </c>
      <c r="D60" s="95">
        <f>SUM('DOE25'!G97:G109)</f>
        <v>0</v>
      </c>
      <c r="E60" s="95">
        <f>SUM('DOE25'!H97:H109)</f>
        <v>15038.68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157155.80000000002</v>
      </c>
      <c r="D61" s="130">
        <f>SUM(D56:D60)</f>
        <v>231158.11000000002</v>
      </c>
      <c r="E61" s="130">
        <f>SUM(E56:E60)</f>
        <v>15038.68</v>
      </c>
      <c r="F61" s="130">
        <f>SUM(F56:F60)</f>
        <v>0</v>
      </c>
      <c r="G61" s="130">
        <f>SUM(G56:G60)</f>
        <v>585.53</v>
      </c>
      <c r="H61"/>
      <c r="I61"/>
    </row>
    <row r="62" spans="1:9" ht="12" thickTop="1">
      <c r="A62" s="29" t="s">
        <v>175</v>
      </c>
      <c r="B62" s="6"/>
      <c r="C62" s="22">
        <f>C55+C61</f>
        <v>15565267.800000001</v>
      </c>
      <c r="D62" s="22">
        <f>D55+D61</f>
        <v>231158.11000000002</v>
      </c>
      <c r="E62" s="22">
        <f>E55+E61</f>
        <v>15038.68</v>
      </c>
      <c r="F62" s="22">
        <f>F55+F61</f>
        <v>0</v>
      </c>
      <c r="G62" s="22">
        <f>G55+G61</f>
        <v>585.53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3432097.32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2302546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2973.68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13294.28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5750911.2800000003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414244.51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3180.71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414244.51</v>
      </c>
      <c r="D77" s="130">
        <f>SUM(D71:D76)</f>
        <v>3180.71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6165155.79</v>
      </c>
      <c r="D80" s="130">
        <f>SUM(D78:D79)+D77+D69</f>
        <v>3180.71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219412.7</v>
      </c>
      <c r="D87" s="95">
        <f>SUM('DOE25'!G152:G160)</f>
        <v>60339.94</v>
      </c>
      <c r="E87" s="95">
        <f>SUM('DOE25'!H152:H160)</f>
        <v>462897.58999999997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219412.7</v>
      </c>
      <c r="D90" s="131">
        <f>SUM(D84:D89)</f>
        <v>60339.94</v>
      </c>
      <c r="E90" s="131">
        <f>SUM(E84:E89)</f>
        <v>462897.58999999997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20359.39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20359.39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21949836.289999999</v>
      </c>
      <c r="D103" s="86">
        <f>D62+D80+D90+D102</f>
        <v>315038.15000000002</v>
      </c>
      <c r="E103" s="86">
        <f>E62+E80+E90+E102</f>
        <v>477936.26999999996</v>
      </c>
      <c r="F103" s="86">
        <f>F62+F80+F90+F102</f>
        <v>0</v>
      </c>
      <c r="G103" s="86">
        <f>G62+G80+G102</f>
        <v>585.53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11717040.619999999</v>
      </c>
      <c r="D108" s="24" t="s">
        <v>289</v>
      </c>
      <c r="E108" s="95">
        <f>('DOE25'!L275)+('DOE25'!L294)+('DOE25'!L313)</f>
        <v>184592.06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5071867.37</v>
      </c>
      <c r="D109" s="24" t="s">
        <v>289</v>
      </c>
      <c r="E109" s="95">
        <f>('DOE25'!L276)+('DOE25'!L295)+('DOE25'!L314)</f>
        <v>251168.69999999998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90034.950000000012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15946.36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16894889.299999997</v>
      </c>
      <c r="D114" s="86">
        <f>SUM(D108:D113)</f>
        <v>0</v>
      </c>
      <c r="E114" s="86">
        <f>SUM(E108:E113)</f>
        <v>435760.76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1095516.5499999998</v>
      </c>
      <c r="D117" s="24" t="s">
        <v>289</v>
      </c>
      <c r="E117" s="95">
        <f>+('DOE25'!L280)+('DOE25'!L299)+('DOE25'!L318)</f>
        <v>12841.38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291735.31</v>
      </c>
      <c r="D118" s="24" t="s">
        <v>289</v>
      </c>
      <c r="E118" s="95">
        <f>+('DOE25'!L281)+('DOE25'!L300)+('DOE25'!L319)</f>
        <v>29334.13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356366.49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919894.14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1267506.9000000001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808186.2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5420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315038.15000000002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4744625.59</v>
      </c>
      <c r="D127" s="86">
        <f>SUM(D117:D126)</f>
        <v>315038.15000000002</v>
      </c>
      <c r="E127" s="86">
        <f>SUM(E117:E126)</f>
        <v>42175.51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269058.53999999998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20359.39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585.53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-585.53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289417.93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21928932.819999997</v>
      </c>
      <c r="D144" s="86">
        <f>(D114+D127+D143)</f>
        <v>315038.15000000002</v>
      </c>
      <c r="E144" s="86">
        <f>(E114+E127+E143)</f>
        <v>477936.27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>Hampstead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16710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16710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11901633</v>
      </c>
      <c r="D10" s="182">
        <f>ROUND((C10/$C$28)*100,1)</f>
        <v>53.6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5323036</v>
      </c>
      <c r="D11" s="182">
        <f>ROUND((C11/$C$28)*100,1)</f>
        <v>24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90035</v>
      </c>
      <c r="D13" s="182">
        <f>ROUND((C13/$C$28)*100,1)</f>
        <v>0.4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1108358</v>
      </c>
      <c r="D15" s="182">
        <f t="shared" ref="D15:D27" si="0">ROUND((C15/$C$28)*100,1)</f>
        <v>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321069</v>
      </c>
      <c r="D16" s="182">
        <f t="shared" si="0"/>
        <v>1.4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361786</v>
      </c>
      <c r="D17" s="182">
        <f t="shared" si="0"/>
        <v>1.6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919894</v>
      </c>
      <c r="D18" s="182">
        <f t="shared" si="0"/>
        <v>4.0999999999999996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1267507</v>
      </c>
      <c r="D20" s="182">
        <f t="shared" si="0"/>
        <v>5.7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808186</v>
      </c>
      <c r="D21" s="182">
        <f t="shared" si="0"/>
        <v>3.6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15946</v>
      </c>
      <c r="D24" s="182">
        <f t="shared" si="0"/>
        <v>0.1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83900.37</v>
      </c>
      <c r="D27" s="182">
        <f t="shared" si="0"/>
        <v>0.4</v>
      </c>
    </row>
    <row r="28" spans="1:4">
      <c r="B28" s="187" t="s">
        <v>723</v>
      </c>
      <c r="C28" s="180">
        <f>SUM(C10:C27)</f>
        <v>22201350.370000001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269059</v>
      </c>
    </row>
    <row r="30" spans="1:4">
      <c r="B30" s="187" t="s">
        <v>729</v>
      </c>
      <c r="C30" s="180">
        <f>SUM(C28:C29)</f>
        <v>22470409.370000001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15408112</v>
      </c>
      <c r="D35" s="182">
        <f t="shared" ref="D35:D40" si="1">ROUND((C35/$C$41)*100,1)</f>
        <v>68.5</v>
      </c>
    </row>
    <row r="36" spans="1:4">
      <c r="B36" s="185" t="s">
        <v>743</v>
      </c>
      <c r="C36" s="179">
        <f>SUM('DOE25'!F111:J111)-SUM('DOE25'!G96:G109)+('DOE25'!F173+'DOE25'!F174+'DOE25'!I173+'DOE25'!I174)-C35</f>
        <v>172800.48999999836</v>
      </c>
      <c r="D36" s="182">
        <f t="shared" si="1"/>
        <v>0.8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5737617</v>
      </c>
      <c r="D37" s="182">
        <f t="shared" si="1"/>
        <v>25.5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430720</v>
      </c>
      <c r="D38" s="182">
        <f t="shared" si="1"/>
        <v>1.9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742650</v>
      </c>
      <c r="D39" s="182">
        <f t="shared" si="1"/>
        <v>3.3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22491899.489999998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>
      <c r="A2" s="297" t="s">
        <v>767</v>
      </c>
      <c r="B2" s="298"/>
      <c r="C2" s="298"/>
      <c r="D2" s="298"/>
      <c r="E2" s="298"/>
      <c r="F2" s="291" t="str">
        <f>'DOE25'!A2</f>
        <v>Hampstead School District</v>
      </c>
      <c r="G2" s="292"/>
      <c r="H2" s="292"/>
      <c r="I2" s="292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2012-10-12T14:09:51Z</cp:lastPrinted>
  <dcterms:created xsi:type="dcterms:W3CDTF">1997-12-04T19:04:30Z</dcterms:created>
  <dcterms:modified xsi:type="dcterms:W3CDTF">2012-11-28T14:43:15Z</dcterms:modified>
</cp:coreProperties>
</file>