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F0A" lockStructure="1"/>
  <bookViews>
    <workbookView xWindow="0" yWindow="0" windowWidth="2560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4" i="1" l="1"/>
  <c r="F109" i="1" l="1"/>
  <c r="G96" i="1" l="1"/>
  <c r="G467" i="1"/>
  <c r="G464" i="1"/>
  <c r="F48" i="1"/>
  <c r="H196" i="1"/>
  <c r="F471" i="1"/>
  <c r="F29" i="1"/>
  <c r="F9" i="1"/>
  <c r="H221" i="1"/>
  <c r="H203" i="1"/>
  <c r="H249" i="1"/>
  <c r="I249" i="1"/>
  <c r="H254" i="1"/>
  <c r="D9" i="13"/>
  <c r="C10" i="12"/>
  <c r="B12" i="12"/>
  <c r="B10" i="12"/>
  <c r="C37" i="12"/>
  <c r="B38" i="12"/>
  <c r="B37" i="12"/>
  <c r="B21" i="12"/>
  <c r="C20" i="12"/>
  <c r="B20" i="12"/>
  <c r="C19" i="12"/>
  <c r="B19" i="12"/>
  <c r="F215" i="1"/>
  <c r="F197" i="1"/>
  <c r="B11" i="12"/>
  <c r="G531" i="1"/>
  <c r="G526" i="1"/>
  <c r="G521" i="1"/>
  <c r="F531" i="1"/>
  <c r="F521" i="1"/>
  <c r="H525" i="1"/>
  <c r="G530" i="1"/>
  <c r="G525" i="1"/>
  <c r="G520" i="1"/>
  <c r="F530" i="1"/>
  <c r="F520" i="1"/>
  <c r="F525" i="1"/>
  <c r="F526" i="1"/>
  <c r="H215" i="1"/>
  <c r="H197" i="1"/>
  <c r="F581" i="1"/>
  <c r="G581" i="1"/>
  <c r="I603" i="1"/>
  <c r="H603" i="1"/>
  <c r="J467" i="1"/>
  <c r="H396" i="1"/>
  <c r="J95" i="1"/>
  <c r="H591" i="1"/>
  <c r="H596" i="1"/>
  <c r="H594" i="1"/>
  <c r="H590" i="1"/>
  <c r="K301" i="1"/>
  <c r="J464" i="1"/>
  <c r="G366" i="1"/>
  <c r="F366" i="1"/>
  <c r="G367" i="1"/>
  <c r="F367" i="1"/>
  <c r="I358" i="1"/>
  <c r="I357" i="1"/>
  <c r="K358" i="1"/>
  <c r="K357" i="1"/>
  <c r="H358" i="1"/>
  <c r="H357" i="1"/>
  <c r="F358" i="1"/>
  <c r="F357" i="1"/>
  <c r="H154" i="1"/>
  <c r="H153" i="1"/>
  <c r="H158" i="1"/>
  <c r="G157" i="1"/>
  <c r="J220" i="1"/>
  <c r="J202" i="1"/>
  <c r="J206" i="1"/>
  <c r="I206" i="1"/>
  <c r="H206" i="1"/>
  <c r="K203" i="1"/>
  <c r="K221" i="1"/>
  <c r="F221" i="1"/>
  <c r="F203" i="1"/>
  <c r="J221" i="1"/>
  <c r="J203" i="1"/>
  <c r="F202" i="1"/>
  <c r="F220" i="1"/>
  <c r="G501" i="1"/>
  <c r="G498" i="1"/>
  <c r="F501" i="1"/>
  <c r="F498" i="1"/>
  <c r="H224" i="1"/>
  <c r="H225" i="1"/>
  <c r="F196" i="1"/>
  <c r="F214" i="1"/>
  <c r="F201" i="1"/>
  <c r="K206" i="1"/>
  <c r="K204" i="1"/>
  <c r="J224" i="1"/>
  <c r="J201" i="1"/>
  <c r="J214" i="1"/>
  <c r="J196" i="1"/>
  <c r="I224" i="1"/>
  <c r="I222" i="1"/>
  <c r="I204" i="1"/>
  <c r="I221" i="1"/>
  <c r="I203" i="1"/>
  <c r="I220" i="1"/>
  <c r="I202" i="1"/>
  <c r="I214" i="1"/>
  <c r="I196" i="1"/>
  <c r="I219" i="1"/>
  <c r="I201" i="1"/>
  <c r="I199" i="1"/>
  <c r="H207" i="1"/>
  <c r="H222" i="1"/>
  <c r="H204" i="1"/>
  <c r="H220" i="1"/>
  <c r="H202" i="1"/>
  <c r="H201" i="1"/>
  <c r="H219" i="1"/>
  <c r="H217" i="1"/>
  <c r="H199" i="1"/>
  <c r="H214" i="1"/>
  <c r="F199" i="1"/>
  <c r="F217" i="1"/>
  <c r="F224" i="1"/>
  <c r="F206" i="1"/>
  <c r="F204" i="1"/>
  <c r="F222" i="1"/>
  <c r="F219" i="1"/>
  <c r="F159" i="1"/>
  <c r="F11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37" i="10"/>
  <c r="C67" i="2"/>
  <c r="B2" i="13"/>
  <c r="F8" i="13"/>
  <c r="G8" i="13"/>
  <c r="L203" i="1"/>
  <c r="L221" i="1"/>
  <c r="L239" i="1"/>
  <c r="E8" i="13"/>
  <c r="C8" i="13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5" i="1"/>
  <c r="C111" i="2"/>
  <c r="L232" i="1"/>
  <c r="L233" i="1"/>
  <c r="L234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86" i="1"/>
  <c r="F661" i="1"/>
  <c r="L225" i="1"/>
  <c r="L305" i="1"/>
  <c r="G661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7" i="1"/>
  <c r="L294" i="1"/>
  <c r="L295" i="1"/>
  <c r="L296" i="1"/>
  <c r="L297" i="1"/>
  <c r="L299" i="1"/>
  <c r="L300" i="1"/>
  <c r="L301" i="1"/>
  <c r="L302" i="1"/>
  <c r="L303" i="1"/>
  <c r="L304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G139" i="1"/>
  <c r="H120" i="1"/>
  <c r="H135" i="1"/>
  <c r="I120" i="1"/>
  <c r="I135" i="1"/>
  <c r="I139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2" i="10"/>
  <c r="C13" i="10"/>
  <c r="C15" i="10"/>
  <c r="C18" i="10"/>
  <c r="C19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46" i="1"/>
  <c r="G660" i="1"/>
  <c r="H661" i="1"/>
  <c r="I668" i="1"/>
  <c r="C6" i="10"/>
  <c r="L228" i="1"/>
  <c r="L308" i="1"/>
  <c r="G659" i="1"/>
  <c r="G663" i="1"/>
  <c r="G671" i="1"/>
  <c r="C5" i="10" s="1"/>
  <c r="L210" i="1"/>
  <c r="L289" i="1"/>
  <c r="F659" i="1"/>
  <c r="F660" i="1"/>
  <c r="F663" i="1"/>
  <c r="F671" i="1"/>
  <c r="C4" i="10" s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G16" i="2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G21" i="2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G42" i="2"/>
  <c r="I456" i="1"/>
  <c r="J37" i="1"/>
  <c r="I458" i="1"/>
  <c r="J47" i="1"/>
  <c r="G46" i="2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D96" i="2"/>
  <c r="D97" i="2"/>
  <c r="D98" i="2"/>
  <c r="D99" i="2"/>
  <c r="D100" i="2"/>
  <c r="D101" i="2"/>
  <c r="D102" i="2"/>
  <c r="E95" i="2"/>
  <c r="F95" i="2"/>
  <c r="G95" i="2"/>
  <c r="C96" i="2"/>
  <c r="E96" i="2"/>
  <c r="F96" i="2"/>
  <c r="G96" i="2"/>
  <c r="C97" i="2"/>
  <c r="E97" i="2"/>
  <c r="G97" i="2"/>
  <c r="C98" i="2"/>
  <c r="E98" i="2"/>
  <c r="F98" i="2"/>
  <c r="C99" i="2"/>
  <c r="E99" i="2"/>
  <c r="F99" i="2"/>
  <c r="C100" i="2"/>
  <c r="E100" i="2"/>
  <c r="F100" i="2"/>
  <c r="C101" i="2"/>
  <c r="E101" i="2"/>
  <c r="F101" i="2"/>
  <c r="C108" i="2"/>
  <c r="E108" i="2"/>
  <c r="E109" i="2"/>
  <c r="C110" i="2"/>
  <c r="E110" i="2"/>
  <c r="E111" i="2"/>
  <c r="C112" i="2"/>
  <c r="E112" i="2"/>
  <c r="C113" i="2"/>
  <c r="E113" i="2"/>
  <c r="D114" i="2"/>
  <c r="F114" i="2"/>
  <c r="G114" i="2"/>
  <c r="C117" i="2"/>
  <c r="E117" i="2"/>
  <c r="E118" i="2"/>
  <c r="C119" i="2"/>
  <c r="E119" i="2"/>
  <c r="C120" i="2"/>
  <c r="E120" i="2"/>
  <c r="C121" i="2"/>
  <c r="E121" i="2"/>
  <c r="E122" i="2"/>
  <c r="E123" i="2"/>
  <c r="E124" i="2"/>
  <c r="D126" i="2"/>
  <c r="D127" i="2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K433" i="1"/>
  <c r="G133" i="2"/>
  <c r="G143" i="2"/>
  <c r="G144" i="2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/>
  <c r="G50" i="1"/>
  <c r="G51" i="1"/>
  <c r="H617" i="1"/>
  <c r="H50" i="1"/>
  <c r="H51" i="1"/>
  <c r="H618" i="1"/>
  <c r="I50" i="1"/>
  <c r="I51" i="1"/>
  <c r="H619" i="1"/>
  <c r="F176" i="1"/>
  <c r="I176" i="1"/>
  <c r="F182" i="1"/>
  <c r="G182" i="1"/>
  <c r="H182" i="1"/>
  <c r="I182" i="1"/>
  <c r="I187" i="1"/>
  <c r="I191" i="1"/>
  <c r="J182" i="1"/>
  <c r="J191" i="1"/>
  <c r="F187" i="1"/>
  <c r="G187" i="1"/>
  <c r="H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K246" i="1"/>
  <c r="K255" i="1"/>
  <c r="K256" i="1"/>
  <c r="K270" i="1"/>
  <c r="F246" i="1"/>
  <c r="G246" i="1"/>
  <c r="H246" i="1"/>
  <c r="I246" i="1"/>
  <c r="J246" i="1"/>
  <c r="F255" i="1"/>
  <c r="G255" i="1"/>
  <c r="H255" i="1"/>
  <c r="I255" i="1"/>
  <c r="J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K336" i="1"/>
  <c r="K337" i="1"/>
  <c r="K351" i="1"/>
  <c r="F361" i="1"/>
  <c r="G361" i="1"/>
  <c r="H361" i="1"/>
  <c r="I361" i="1"/>
  <c r="G633" i="1"/>
  <c r="J361" i="1"/>
  <c r="K361" i="1"/>
  <c r="I367" i="1"/>
  <c r="F368" i="1"/>
  <c r="G368" i="1"/>
  <c r="H368" i="1"/>
  <c r="L380" i="1"/>
  <c r="L381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26" i="1"/>
  <c r="G432" i="1"/>
  <c r="G433" i="1"/>
  <c r="H418" i="1"/>
  <c r="I418" i="1"/>
  <c r="I426" i="1"/>
  <c r="I432" i="1"/>
  <c r="I433" i="1"/>
  <c r="J418" i="1"/>
  <c r="L420" i="1"/>
  <c r="L421" i="1"/>
  <c r="L422" i="1"/>
  <c r="L423" i="1"/>
  <c r="L424" i="1"/>
  <c r="L425" i="1"/>
  <c r="F426" i="1"/>
  <c r="H426" i="1"/>
  <c r="J426" i="1"/>
  <c r="L428" i="1"/>
  <c r="L429" i="1"/>
  <c r="L430" i="1"/>
  <c r="L431" i="1"/>
  <c r="F432" i="1"/>
  <c r="H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I460" i="1"/>
  <c r="H641" i="1"/>
  <c r="F460" i="1"/>
  <c r="G460" i="1"/>
  <c r="H639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69" i="1"/>
  <c r="G570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/>
  <c r="G619" i="1"/>
  <c r="J619" i="1"/>
  <c r="G621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G644" i="1"/>
  <c r="H644" i="1"/>
  <c r="H649" i="1"/>
  <c r="G650" i="1"/>
  <c r="G651" i="1"/>
  <c r="H651" i="1"/>
  <c r="J651" i="1"/>
  <c r="G652" i="1"/>
  <c r="H652" i="1"/>
  <c r="J652" i="1"/>
  <c r="G653" i="1"/>
  <c r="H653" i="1"/>
  <c r="J653" i="1"/>
  <c r="H654" i="1"/>
  <c r="J351" i="1"/>
  <c r="F191" i="1"/>
  <c r="L255" i="1"/>
  <c r="G163" i="2"/>
  <c r="G159" i="2"/>
  <c r="C18" i="2"/>
  <c r="F31" i="2"/>
  <c r="C26" i="10"/>
  <c r="L327" i="1"/>
  <c r="H659" i="1"/>
  <c r="L350" i="1"/>
  <c r="A31" i="12"/>
  <c r="C69" i="2"/>
  <c r="A40" i="12"/>
  <c r="D12" i="13"/>
  <c r="C12" i="13"/>
  <c r="G8" i="2"/>
  <c r="G161" i="2"/>
  <c r="D61" i="2"/>
  <c r="D62" i="2"/>
  <c r="E49" i="2"/>
  <c r="D18" i="13"/>
  <c r="C18" i="13"/>
  <c r="F102" i="2"/>
  <c r="D18" i="2"/>
  <c r="E18" i="2"/>
  <c r="D17" i="13"/>
  <c r="C17" i="13"/>
  <c r="D6" i="13"/>
  <c r="C6" i="13"/>
  <c r="G158" i="2"/>
  <c r="C90" i="2"/>
  <c r="G80" i="2"/>
  <c r="F77" i="2"/>
  <c r="F80" i="2"/>
  <c r="F61" i="2"/>
  <c r="F62" i="2"/>
  <c r="D31" i="2"/>
  <c r="C77" i="2"/>
  <c r="D49" i="2"/>
  <c r="D50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 s="1"/>
  <c r="C103" i="2" s="1"/>
  <c r="E31" i="2"/>
  <c r="C31" i="2"/>
  <c r="G61" i="2"/>
  <c r="D29" i="13"/>
  <c r="C29" i="13"/>
  <c r="D19" i="13"/>
  <c r="C19" i="13"/>
  <c r="E13" i="13"/>
  <c r="C13" i="13"/>
  <c r="J616" i="1"/>
  <c r="F544" i="1"/>
  <c r="I662" i="1"/>
  <c r="C17" i="10"/>
  <c r="I368" i="1"/>
  <c r="H633" i="1"/>
  <c r="H660" i="1"/>
  <c r="H663" i="1"/>
  <c r="L361" i="1"/>
  <c r="C124" i="2"/>
  <c r="G649" i="1"/>
  <c r="D15" i="13"/>
  <c r="C15" i="13"/>
  <c r="C123" i="2"/>
  <c r="H646" i="1"/>
  <c r="G31" i="13"/>
  <c r="G33" i="13"/>
  <c r="F31" i="13"/>
  <c r="I337" i="1"/>
  <c r="I351" i="1"/>
  <c r="J641" i="1"/>
  <c r="G256" i="1"/>
  <c r="G270" i="1"/>
  <c r="I661" i="1"/>
  <c r="G648" i="1"/>
  <c r="J648" i="1"/>
  <c r="J649" i="1"/>
  <c r="C118" i="2"/>
  <c r="D7" i="13"/>
  <c r="C7" i="13"/>
  <c r="I256" i="1"/>
  <c r="I270" i="1"/>
  <c r="D14" i="13"/>
  <c r="C14" i="13"/>
  <c r="C122" i="2"/>
  <c r="C16" i="10"/>
  <c r="C20" i="10"/>
  <c r="C11" i="10"/>
  <c r="C109" i="2"/>
  <c r="C114" i="2"/>
  <c r="L256" i="1"/>
  <c r="L270" i="1"/>
  <c r="G631" i="1"/>
  <c r="J631" i="1"/>
  <c r="C127" i="2"/>
  <c r="A22" i="12"/>
  <c r="F139" i="1"/>
  <c r="C80" i="2"/>
  <c r="E77" i="2"/>
  <c r="E80" i="2"/>
  <c r="F103" i="2"/>
  <c r="L426" i="1"/>
  <c r="J256" i="1"/>
  <c r="H647" i="1"/>
  <c r="H111" i="1"/>
  <c r="F111" i="1"/>
  <c r="J640" i="1"/>
  <c r="J638" i="1"/>
  <c r="K604" i="1"/>
  <c r="G647" i="1"/>
  <c r="J570" i="1"/>
  <c r="K570" i="1"/>
  <c r="L432" i="1"/>
  <c r="L418" i="1"/>
  <c r="D80" i="2"/>
  <c r="I659" i="1"/>
  <c r="I660" i="1"/>
  <c r="I663" i="1"/>
  <c r="I671" i="1"/>
  <c r="C7" i="10" s="1"/>
  <c r="I168" i="1"/>
  <c r="H168" i="1"/>
  <c r="G551" i="1"/>
  <c r="L433" i="1"/>
  <c r="G637" i="1"/>
  <c r="E50" i="2"/>
  <c r="J643" i="1"/>
  <c r="J642" i="1"/>
  <c r="J475" i="1"/>
  <c r="H625" i="1"/>
  <c r="H475" i="1"/>
  <c r="H623" i="1"/>
  <c r="J623" i="1"/>
  <c r="F475" i="1"/>
  <c r="H621" i="1"/>
  <c r="J621" i="1"/>
  <c r="I475" i="1"/>
  <c r="H624" i="1"/>
  <c r="G475" i="1"/>
  <c r="H622" i="1"/>
  <c r="J622" i="1"/>
  <c r="G337" i="1"/>
  <c r="G351" i="1"/>
  <c r="D144" i="2"/>
  <c r="C23" i="10"/>
  <c r="F168" i="1"/>
  <c r="J139" i="1"/>
  <c r="D103" i="2"/>
  <c r="J637" i="1"/>
  <c r="F570" i="1"/>
  <c r="H256" i="1"/>
  <c r="H270" i="1"/>
  <c r="G62" i="2"/>
  <c r="G103" i="2"/>
  <c r="G12" i="2"/>
  <c r="G18" i="2"/>
  <c r="J19" i="1"/>
  <c r="G620" i="1"/>
  <c r="I551" i="1"/>
  <c r="K548" i="1"/>
  <c r="K549" i="1"/>
  <c r="G22" i="2"/>
  <c r="G31" i="2"/>
  <c r="J32" i="1"/>
  <c r="K597" i="1"/>
  <c r="G646" i="1"/>
  <c r="K544" i="1"/>
  <c r="I192" i="1"/>
  <c r="G629" i="1"/>
  <c r="J629" i="1"/>
  <c r="J617" i="1"/>
  <c r="J551" i="1"/>
  <c r="H551" i="1"/>
  <c r="C29" i="10"/>
  <c r="H139" i="1"/>
  <c r="C38" i="10"/>
  <c r="L400" i="1"/>
  <c r="C138" i="2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/>
  <c r="F337" i="1"/>
  <c r="F351" i="1"/>
  <c r="G191" i="1"/>
  <c r="G192" i="1"/>
  <c r="G627" i="1"/>
  <c r="J627" i="1"/>
  <c r="H191" i="1"/>
  <c r="E127" i="2"/>
  <c r="E144" i="2"/>
  <c r="F551" i="1"/>
  <c r="C35" i="10"/>
  <c r="C36" i="10"/>
  <c r="C41" i="10" s="1"/>
  <c r="D5" i="13"/>
  <c r="E16" i="13"/>
  <c r="J624" i="1"/>
  <c r="C49" i="2"/>
  <c r="C50" i="2"/>
  <c r="J654" i="1"/>
  <c r="J644" i="1"/>
  <c r="J192" i="1"/>
  <c r="L569" i="1"/>
  <c r="I570" i="1"/>
  <c r="I544" i="1"/>
  <c r="J635" i="1"/>
  <c r="G36" i="2"/>
  <c r="G49" i="2"/>
  <c r="G50" i="2"/>
  <c r="J50" i="1"/>
  <c r="C39" i="10"/>
  <c r="H192" i="1"/>
  <c r="G628" i="1"/>
  <c r="J628" i="1"/>
  <c r="L564" i="1"/>
  <c r="L570" i="1"/>
  <c r="G544" i="1"/>
  <c r="L544" i="1"/>
  <c r="H544" i="1"/>
  <c r="K550" i="1"/>
  <c r="K551" i="1"/>
  <c r="J647" i="1"/>
  <c r="H671" i="1"/>
  <c r="H666" i="1"/>
  <c r="C27" i="10"/>
  <c r="C28" i="10"/>
  <c r="D25" i="10"/>
  <c r="G634" i="1"/>
  <c r="J634" i="1"/>
  <c r="J646" i="1"/>
  <c r="J270" i="1"/>
  <c r="F666" i="1"/>
  <c r="F192" i="1"/>
  <c r="G626" i="1"/>
  <c r="J626" i="1" s="1"/>
  <c r="C5" i="13"/>
  <c r="C22" i="13"/>
  <c r="F33" i="13"/>
  <c r="C137" i="2"/>
  <c r="C140" i="2"/>
  <c r="C143" i="2"/>
  <c r="C144" i="2"/>
  <c r="L407" i="1"/>
  <c r="C16" i="13"/>
  <c r="E33" i="13"/>
  <c r="D35" i="13" s="1"/>
  <c r="D31" i="13"/>
  <c r="C31" i="13"/>
  <c r="L337" i="1"/>
  <c r="L351" i="1"/>
  <c r="G632" i="1"/>
  <c r="J632" i="1"/>
  <c r="C25" i="13"/>
  <c r="H33" i="13"/>
  <c r="G630" i="1"/>
  <c r="J630" i="1"/>
  <c r="G645" i="1"/>
  <c r="G625" i="1"/>
  <c r="J51" i="1"/>
  <c r="H620" i="1"/>
  <c r="J620" i="1"/>
  <c r="D19" i="10"/>
  <c r="D10" i="10"/>
  <c r="D21" i="10"/>
  <c r="D20" i="10"/>
  <c r="D13" i="10"/>
  <c r="D12" i="10"/>
  <c r="D16" i="10"/>
  <c r="D18" i="10"/>
  <c r="D26" i="10"/>
  <c r="C30" i="10"/>
  <c r="D11" i="10"/>
  <c r="D17" i="10"/>
  <c r="D15" i="10"/>
  <c r="D23" i="10"/>
  <c r="D24" i="10"/>
  <c r="D22" i="10"/>
  <c r="D27" i="10"/>
  <c r="G636" i="1"/>
  <c r="J636" i="1"/>
  <c r="H645" i="1"/>
  <c r="J645" i="1"/>
  <c r="D33" i="13"/>
  <c r="D36" i="13" s="1"/>
  <c r="J625" i="1"/>
  <c r="H655" i="1"/>
  <c r="D28" i="10"/>
  <c r="I666" i="1"/>
  <c r="G666" i="1"/>
  <c r="D39" i="10" l="1"/>
  <c r="D35" i="10"/>
  <c r="D36" i="10"/>
  <c r="D38" i="10"/>
  <c r="D40" i="10"/>
  <c r="D37" i="10"/>
  <c r="D41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<sst xmlns="http://schemas.openxmlformats.org/spreadsheetml/2006/main" count="3949" uniqueCount="916">
  <si>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</si>
  <si>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</si>
  <si>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</si>
  <si>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</si>
  <si>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</si>
  <si>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</si>
  <si>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</si>
  <si>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</si>
  <si>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</si>
  <si>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</si>
  <si>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</si>
  <si>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</si>
  <si>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</si>
  <si>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</si>
  <si>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</si>
  <si>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</si>
  <si>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</si>
  <si>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</si>
  <si>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</si>
  <si>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</si>
  <si>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</si>
  <si>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</si>
  <si>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</si>
  <si>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</si>
  <si>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</si>
  <si>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</si>
  <si>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</si>
  <si>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</si>
  <si>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</si>
  <si>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</si>
  <si>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</si>
  <si>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</si>
  <si>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</si>
  <si>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</si>
  <si>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</si>
  <si>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</si>
  <si>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</si>
  <si>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</si>
  <si>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</si>
  <si>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</si>
  <si>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</si>
  <si>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</si>
  <si>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</si>
  <si>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</si>
  <si>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</si>
  <si>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</si>
  <si>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</si>
  <si>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</si>
  <si>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</si>
  <si>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</si>
  <si>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</si>
  <si>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</si>
  <si>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</si>
  <si>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</si>
  <si>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</si>
  <si>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</si>
  <si>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</si>
  <si>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</si>
  <si>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</si>
  <si>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</si>
  <si>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</si>
  <si>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</si>
  <si>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</si>
  <si>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</si>
  <si>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</si>
  <si>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</si>
  <si>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</si>
  <si>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</si>
  <si>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</si>
  <si>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</si>
  <si>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</si>
  <si>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</si>
  <si>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</si>
  <si>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</si>
  <si>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</si>
  <si>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</si>
  <si>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</si>
  <si>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</si>
  <si>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</si>
  <si>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</si>
  <si>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</si>
  <si>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</si>
  <si>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</si>
  <si>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</si>
  <si>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</si>
  <si>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</si>
  <si>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</si>
  <si>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</si>
  <si>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</si>
  <si>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</si>
  <si>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</si>
  <si>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</si>
  <si>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</si>
  <si>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</si>
  <si>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</si>
  <si>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</si>
  <si>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</si>
  <si>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</si>
  <si>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</si>
  <si>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</si>
  <si>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</si>
  <si>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</si>
  <si>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</si>
  <si>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</si>
  <si>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</si>
  <si>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</si>
  <si>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</si>
  <si>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</si>
  <si>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</si>
  <si>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</si>
  <si>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</si>
  <si>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</si>
  <si>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</si>
  <si>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</si>
  <si>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</si>
  <si>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</si>
  <si>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</si>
  <si>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</si>
  <si>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</si>
  <si>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</si>
  <si>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</si>
  <si>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</si>
  <si>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</si>
  <si>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</si>
  <si>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</si>
  <si>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</si>
  <si>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</si>
  <si>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</si>
  <si>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</si>
  <si>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</si>
  <si>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</si>
  <si>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</si>
  <si>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</si>
  <si>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</si>
  <si>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</si>
  <si>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</si>
  <si>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</si>
  <si>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</si>
  <si>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</si>
  <si>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</si>
  <si>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</si>
  <si>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</si>
  <si>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</si>
  <si>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</si>
  <si>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</si>
  <si>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</si>
  <si>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</si>
  <si>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</si>
  <si>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</si>
  <si>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</si>
  <si>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</si>
  <si>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</si>
  <si>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</si>
  <si>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</si>
  <si>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</si>
  <si>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</si>
  <si>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</si>
  <si>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</si>
  <si>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</si>
  <si>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</si>
  <si>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</si>
  <si>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</si>
  <si>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</si>
  <si>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</si>
  <si>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</si>
  <si>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</si>
  <si>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</si>
  <si>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</si>
  <si>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</si>
  <si>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</si>
  <si>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</si>
  <si>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</si>
  <si>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</si>
  <si>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</si>
  <si>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</si>
  <si>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</si>
  <si>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</si>
  <si>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</si>
  <si>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</si>
  <si>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</si>
  <si>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</si>
  <si>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</si>
  <si>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</si>
  <si>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</si>
  <si>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</si>
  <si>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</si>
  <si>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</si>
  <si>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</si>
  <si>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</si>
  <si>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</si>
  <si>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</si>
  <si>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</si>
  <si>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</si>
  <si>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</si>
  <si>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</si>
  <si>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</si>
  <si>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</si>
  <si>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</si>
  <si>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</si>
  <si>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</si>
  <si>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</si>
  <si>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</si>
  <si>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</si>
  <si>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</si>
  <si>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</si>
  <si>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</si>
  <si>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</si>
  <si>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</si>
  <si>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</si>
  <si>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</si>
  <si>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</si>
  <si>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</si>
  <si>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</si>
  <si>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</si>
  <si>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</si>
  <si>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</si>
  <si>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</si>
  <si>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</si>
  <si>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</si>
  <si>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</si>
  <si>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</si>
  <si>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</si>
  <si>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</si>
  <si>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</si>
  <si>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</si>
  <si>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</si>
  <si>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</si>
  <si>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</si>
  <si>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</si>
  <si>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</si>
  <si>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</si>
  <si>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</si>
  <si>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</si>
  <si>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</si>
  <si>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</si>
  <si>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</si>
  <si>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</si>
  <si>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</si>
  <si>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</si>
  <si>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</si>
  <si>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</si>
  <si>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</si>
  <si>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</si>
  <si>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</si>
  <si>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</si>
  <si>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</si>
  <si>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</si>
  <si>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</si>
  <si>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</si>
  <si>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</si>
  <si>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</si>
  <si>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</si>
  <si>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</si>
  <si>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</si>
  <si>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</si>
  <si>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</si>
  <si>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</si>
  <si>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</si>
  <si>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</si>
  <si>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</si>
  <si>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</si>
  <si>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</si>
  <si>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</si>
  <si>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</si>
  <si>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</si>
  <si>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</si>
  <si>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</si>
  <si>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</si>
  <si>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</si>
  <si>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</si>
  <si>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</si>
  <si>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</si>
  <si>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</si>
  <si>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</si>
  <si>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</si>
  <si>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</si>
  <si>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</si>
  <si>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</si>
  <si>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</si>
  <si>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</si>
  <si>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</si>
  <si>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</si>
  <si>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</si>
  <si>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</si>
  <si>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</si>
  <si>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</si>
  <si>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</si>
  <si>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</si>
  <si>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</si>
  <si>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</si>
  <si>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</si>
  <si>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</si>
  <si>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</si>
  <si>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</si>
  <si>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</si>
  <si>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</si>
  <si>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</si>
  <si>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</si>
  <si>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</si>
  <si>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</si>
  <si>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</si>
  <si>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</si>
  <si>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</si>
  <si>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</si>
  <si>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</si>
  <si>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</si>
  <si>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</si>
  <si>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</si>
  <si>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</si>
  <si>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</si>
  <si>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</si>
  <si>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</si>
  <si>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</si>
  <si>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</si>
  <si>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</si>
  <si>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</si>
  <si>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</si>
  <si>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</si>
  <si>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</si>
  <si>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</si>
  <si>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</si>
  <si>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</si>
  <si>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</si>
  <si>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</si>
  <si>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</si>
  <si>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</si>
  <si>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</si>
  <si>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</si>
  <si>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</si>
  <si>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</si>
  <si>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</si>
  <si>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</si>
  <si>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</si>
  <si>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</si>
  <si>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</si>
  <si>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</si>
  <si>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</si>
  <si>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</si>
  <si>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</si>
  <si>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</si>
  <si>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</si>
  <si>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</si>
  <si>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</si>
  <si>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</si>
  <si>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</si>
  <si>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</si>
  <si>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</si>
  <si>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</si>
  <si>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</si>
  <si>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</si>
  <si>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</si>
  <si>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</si>
  <si>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</si>
  <si>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</si>
  <si>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</si>
  <si>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</si>
  <si>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</si>
  <si>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</si>
  <si>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</si>
  <si>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</si>
  <si>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</si>
  <si>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</si>
  <si>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</si>
  <si>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</si>
  <si>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</si>
  <si>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</si>
  <si>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</si>
  <si>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</si>
  <si>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</si>
  <si>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</si>
  <si>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</si>
  <si>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</si>
  <si>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</si>
  <si>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</si>
  <si>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</si>
  <si>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</si>
  <si>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</si>
  <si>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</si>
  <si>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</si>
  <si>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</si>
  <si>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</si>
  <si>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</si>
  <si>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</si>
  <si>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</si>
  <si>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</si>
  <si>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</si>
  <si>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</si>
  <si>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</si>
  <si>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</si>
  <si>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</si>
  <si>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</si>
  <si>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</si>
  <si>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</si>
  <si>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</si>
  <si>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</si>
  <si>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</si>
  <si>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</si>
  <si>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</si>
  <si>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</si>
  <si>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</si>
  <si>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</si>
  <si>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</si>
  <si>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</si>
  <si>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</si>
  <si>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</si>
  <si>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</si>
  <si>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</si>
  <si>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</si>
  <si>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</si>
  <si>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</si>
  <si>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</si>
  <si>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</si>
  <si>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</si>
  <si>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</si>
  <si>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</si>
  <si>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</si>
  <si>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</si>
  <si>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</si>
  <si>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</si>
  <si>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</si>
  <si>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</si>
  <si>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</si>
  <si>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</si>
  <si>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</si>
  <si>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</si>
  <si>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</si>
  <si>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</si>
  <si>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</si>
  <si>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</si>
  <si>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</si>
  <si>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</si>
  <si>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</si>
  <si>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</si>
  <si>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</si>
  <si>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</si>
  <si>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</si>
  <si>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</si>
  <si>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</si>
  <si>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</si>
  <si>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</si>
  <si>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</si>
  <si>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</si>
  <si>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</si>
  <si>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</si>
  <si>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</si>
  <si>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</si>
  <si>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</si>
  <si>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</si>
  <si>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</si>
  <si>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</si>
  <si>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</si>
  <si>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</si>
  <si>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</si>
  <si>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</si>
  <si>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</si>
  <si>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</si>
  <si>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</si>
  <si>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</si>
  <si>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</si>
  <si>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</si>
  <si>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</si>
  <si>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</si>
  <si>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</si>
  <si>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</si>
  <si>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</si>
  <si>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</si>
  <si>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</si>
  <si>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</si>
  <si>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</si>
  <si>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</si>
  <si>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</si>
  <si>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</si>
  <si>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</si>
  <si>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</si>
  <si>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</si>
  <si>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</si>
  <si>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</si>
  <si>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</si>
  <si>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</si>
  <si>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</si>
  <si>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</si>
  <si>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</si>
  <si>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</si>
  <si>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</si>
  <si>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</si>
  <si>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</si>
  <si>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</si>
  <si>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</si>
  <si>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</si>
  <si>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</si>
  <si>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</si>
  <si>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</si>
  <si>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</si>
  <si>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</si>
  <si>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</si>
  <si>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</si>
  <si>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</si>
  <si>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</si>
  <si>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</si>
  <si>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</si>
  <si>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</si>
  <si>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</si>
  <si>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</si>
  <si>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</si>
  <si>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</si>
  <si>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</si>
  <si>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</si>
  <si>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</si>
  <si>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</si>
  <si>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</si>
  <si>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</si>
  <si>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</si>
  <si>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</si>
  <si>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</si>
  <si>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</si>
  <si>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</si>
  <si>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</si>
  <si>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</si>
  <si>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</si>
  <si>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</si>
  <si>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</si>
  <si>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</si>
  <si>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</si>
  <si>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</si>
  <si>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</si>
  <si>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</si>
  <si>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</si>
  <si>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</si>
  <si>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</si>
  <si>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</si>
  <si>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</si>
  <si>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</si>
  <si>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</si>
  <si>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</si>
  <si>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</si>
  <si>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</si>
  <si>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</si>
  <si>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</si>
  <si>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</si>
  <si>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</si>
  <si>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</si>
  <si>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</si>
  <si>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</si>
  <si>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</si>
  <si>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</si>
  <si>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</si>
  <si>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</si>
  <si>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</si>
  <si>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</si>
  <si>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</si>
  <si>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</si>
  <si>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</si>
  <si>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</si>
  <si>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</si>
  <si>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</si>
  <si>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</si>
  <si>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</si>
  <si>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</si>
  <si>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</si>
  <si>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</si>
  <si>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</si>
  <si>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</si>
  <si>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</si>
  <si>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</si>
  <si>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</si>
  <si>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</si>
  <si>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</si>
  <si>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</si>
  <si>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</si>
  <si>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</si>
  <si>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</si>
  <si>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</si>
  <si>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</si>
  <si>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</si>
  <si>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</si>
  <si>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</si>
  <si>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</si>
  <si>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</si>
  <si>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</si>
  <si>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</si>
  <si>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</si>
  <si>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</si>
  <si>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</si>
  <si>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</si>
  <si>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</si>
  <si>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</si>
  <si>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</si>
  <si>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</si>
  <si>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</si>
  <si>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</si>
  <si>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</si>
  <si>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</si>
  <si>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</si>
  <si>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</si>
  <si>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</si>
  <si>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</si>
  <si>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</si>
  <si>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</si>
  <si>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</si>
  <si>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</si>
  <si>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</si>
  <si>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</si>
  <si>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</si>
  <si>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</si>
  <si>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</si>
  <si>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</si>
  <si>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</si>
  <si>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</si>
  <si>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</si>
  <si>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</si>
  <si>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</si>
  <si>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</si>
  <si>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</si>
  <si>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</si>
  <si>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</si>
  <si>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</si>
  <si>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</si>
  <si>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</si>
  <si>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</si>
  <si>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</si>
  <si>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</si>
  <si>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</si>
  <si>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</si>
  <si>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</si>
  <si>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</si>
  <si>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</si>
  <si>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</si>
  <si>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</si>
  <si>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</si>
  <si>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</si>
  <si>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</si>
  <si>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</si>
  <si>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</si>
  <si>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</si>
  <si>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</si>
  <si>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</si>
  <si>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</si>
  <si>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</si>
  <si>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</si>
  <si>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</si>
  <si>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</si>
  <si>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</si>
  <si>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</si>
  <si>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</si>
  <si>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</si>
  <si>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</si>
  <si>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</si>
  <si>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</si>
  <si>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</si>
  <si>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</si>
  <si>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</si>
  <si>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</si>
  <si>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</si>
  <si>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</si>
  <si>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</si>
  <si>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</si>
  <si>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</si>
  <si>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</si>
  <si>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</si>
  <si>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</si>
  <si>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</si>
  <si>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</si>
  <si>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</si>
  <si>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</si>
  <si>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</si>
  <si>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</si>
  <si>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</si>
  <si>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</si>
  <si>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</si>
  <si>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</si>
  <si>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</si>
  <si>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</si>
  <si>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</si>
  <si>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</si>
  <si>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</si>
  <si>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</si>
  <si>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</si>
  <si>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</si>
  <si>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</si>
  <si>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</si>
  <si>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</si>
  <si>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</si>
  <si>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</si>
  <si>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</si>
  <si>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</si>
  <si>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</si>
  <si>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</si>
  <si>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</si>
  <si>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</si>
  <si>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</si>
  <si>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</si>
  <si>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</si>
  <si>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</si>
  <si>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</si>
  <si>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</si>
  <si>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</si>
  <si>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</si>
  <si>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</si>
  <si>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</si>
  <si>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</si>
  <si>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</si>
  <si>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</si>
  <si>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</si>
  <si>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</si>
  <si>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</si>
  <si>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</si>
  <si>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</si>
  <si>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</si>
  <si>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</si>
  <si>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</si>
  <si>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</si>
  <si>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</si>
  <si>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</si>
  <si>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</si>
  <si>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</si>
  <si>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</si>
  <si>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</si>
  <si>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</si>
  <si>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</si>
  <si>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</si>
  <si>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</si>
  <si>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</si>
  <si>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</si>
  <si>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</si>
  <si>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</si>
  <si>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</si>
  <si>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</si>
  <si>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</si>
  <si>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</si>
  <si>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</si>
  <si>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</si>
  <si>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</si>
  <si>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</si>
  <si>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</si>
  <si>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</si>
  <si>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</si>
  <si>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</si>
  <si>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</si>
  <si>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</si>
  <si>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</si>
  <si>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</si>
  <si>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</si>
  <si>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</si>
  <si>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</si>
  <si>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</si>
  <si>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</si>
  <si>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</si>
  <si>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</si>
  <si>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</si>
  <si>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</si>
  <si>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</si>
  <si>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</si>
  <si>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</si>
  <si>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</si>
  <si>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</si>
  <si>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</si>
  <si>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</si>
  <si>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</si>
  <si>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</si>
  <si>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</si>
  <si>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</si>
  <si>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</si>
  <si>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</si>
  <si>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</si>
  <si>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</si>
  <si>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</si>
  <si>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</si>
  <si>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</si>
  <si>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</si>
  <si>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</si>
  <si>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</si>
  <si>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</si>
  <si>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</si>
  <si>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</si>
  <si>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</si>
  <si>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</si>
  <si>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</si>
  <si>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</si>
  <si>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</si>
  <si>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</si>
  <si>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</si>
  <si>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</si>
  <si>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</si>
  <si>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</si>
  <si>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</si>
  <si>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</si>
  <si>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</si>
  <si>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</si>
  <si>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</si>
  <si>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</si>
  <si>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</si>
  <si>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</si>
  <si>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</si>
  <si>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</si>
  <si>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</si>
  <si>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</si>
  <si>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</si>
  <si>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</si>
  <si>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</si>
  <si>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</si>
  <si>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</si>
  <si>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</si>
  <si>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</si>
  <si>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</si>
  <si>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</si>
  <si>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</si>
  <si>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</si>
  <si>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</si>
  <si>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</si>
  <si>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</si>
  <si>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</si>
  <si>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</si>
  <si>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</si>
  <si>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</si>
  <si>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</si>
  <si>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</si>
  <si>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</si>
  <si>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</si>
  <si>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</si>
  <si>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</si>
  <si>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</si>
  <si>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</si>
  <si>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</si>
  <si>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</si>
  <si>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</si>
  <si>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</si>
  <si>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</si>
  <si>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</si>
  <si>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</si>
  <si>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</si>
  <si>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</si>
  <si>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</si>
  <si>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</si>
  <si>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</si>
  <si>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</si>
  <si>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</si>
  <si>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</si>
  <si>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</si>
  <si>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</si>
  <si>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</si>
  <si>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</si>
  <si>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</si>
  <si>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</si>
  <si>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</si>
  <si>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</si>
  <si>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</si>
  <si>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</si>
  <si>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</si>
  <si>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</si>
  <si>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</si>
  <si>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</si>
  <si>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</si>
  <si>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</si>
  <si>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</si>
  <si>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</si>
  <si>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</si>
  <si>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</si>
  <si>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</si>
  <si>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</si>
  <si>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</si>
  <si>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</si>
  <si>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</si>
  <si>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</si>
  <si>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</si>
  <si>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</si>
  <si>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</si>
  <si>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</si>
  <si>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</si>
  <si>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</si>
  <si>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</si>
  <si>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</si>
  <si>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</si>
  <si>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</si>
  <si>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</si>
  <si>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</si>
  <si>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</si>
  <si>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</si>
  <si>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</si>
  <si>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</si>
  <si>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</si>
  <si>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</si>
  <si>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</si>
  <si>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</si>
  <si>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</si>
  <si>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</si>
  <si>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</si>
  <si>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</si>
  <si>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</si>
  <si>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</si>
  <si>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</si>
  <si>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</si>
  <si>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</si>
  <si>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</si>
  <si>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</si>
  <si>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</si>
  <si>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</si>
  <si>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</si>
  <si>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</si>
  <si>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</si>
  <si>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</si>
  <si>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</si>
  <si>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</si>
  <si>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</si>
  <si>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</si>
  <si>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</si>
  <si>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</si>
  <si>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</si>
  <si>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</si>
  <si>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</si>
  <si>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Hampton School District</t>
  </si>
  <si>
    <t>07/96</t>
  </si>
  <si>
    <t>07/98</t>
  </si>
  <si>
    <t>08/16</t>
  </si>
  <si>
    <t>08/18</t>
  </si>
  <si>
    <t>Correction of Trust Fund beginning Fund Equity to</t>
  </si>
  <si>
    <t>remove value of "unrealized gain/loss" in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</si>
</sst>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PageLayoutView="12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4" sqref="H664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225</v>
      </c>
      <c r="C2" s="21">
        <v>225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842887.4+100</f>
        <v>842987.4</v>
      </c>
      <c r="G9" s="18">
        <v>300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133448.97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171311.23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171311.23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555.77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1014298.63</v>
      </c>
      <c r="G19" s="41">
        <f>SUM(G9:G18)</f>
        <v>855.77</v>
      </c>
      <c r="H19" s="41">
        <f>SUM(H9:H18)</f>
        <v>171311.23</v>
      </c>
      <c r="I19" s="41">
        <f>SUM(I9:I18)</f>
        <v>0</v>
      </c>
      <c r="J19" s="41">
        <f>SUM(J9:J18)</f>
        <v>133448.97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578.53</v>
      </c>
      <c r="G22" s="18">
        <v>340.67</v>
      </c>
      <c r="H22" s="18">
        <v>171311.23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59921.12+54702.67+8169.75</f>
        <v>122793.54000000001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106817.02</v>
      </c>
      <c r="G30" s="18">
        <v>63.2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230189.09000000003</v>
      </c>
      <c r="G32" s="41">
        <f>SUM(G22:G31)</f>
        <v>403.87</v>
      </c>
      <c r="H32" s="41">
        <f>SUM(H22:H31)</f>
        <v>171311.23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41941.769999999997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451.9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133448.97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f>145058.33+113981.44</f>
        <v>259039.77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408128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784109.54</v>
      </c>
      <c r="G50" s="41">
        <f>SUM(G35:G49)</f>
        <v>451.9</v>
      </c>
      <c r="H50" s="41">
        <f>SUM(H35:H49)</f>
        <v>0</v>
      </c>
      <c r="I50" s="41">
        <f>SUM(I35:I49)</f>
        <v>0</v>
      </c>
      <c r="J50" s="41">
        <f>SUM(J35:J49)</f>
        <v>133448.97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1014298.6300000001</v>
      </c>
      <c r="G51" s="41">
        <f>G50+G32</f>
        <v>855.77</v>
      </c>
      <c r="H51" s="41">
        <f>H50+H32</f>
        <v>171311.23</v>
      </c>
      <c r="I51" s="41">
        <f>I50+I32</f>
        <v>0</v>
      </c>
      <c r="J51" s="41">
        <f>J50+J32</f>
        <v>133448.97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13001805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13001805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f>3583.67+2619</f>
        <v>6202.67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96344.47+106247.18+139497.17+288.93-711.11</f>
        <v>341666.64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1500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1734.64+6000</f>
        <v>7734.64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9234.64</v>
      </c>
      <c r="G110" s="41">
        <f>SUM(G95:G109)</f>
        <v>341666.64</v>
      </c>
      <c r="H110" s="41">
        <f>SUM(H95:H109)</f>
        <v>0</v>
      </c>
      <c r="I110" s="41">
        <f>SUM(I95:I109)</f>
        <v>0</v>
      </c>
      <c r="J110" s="41">
        <f>SUM(J95:J109)</f>
        <v>6202.67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13011039.640000001</v>
      </c>
      <c r="G111" s="41">
        <f>G59+G110</f>
        <v>341666.64</v>
      </c>
      <c r="H111" s="41">
        <f>H59+H78+H93+H110</f>
        <v>0</v>
      </c>
      <c r="I111" s="41">
        <f>I59+I110</f>
        <v>0</v>
      </c>
      <c r="J111" s="41">
        <f>J59+J110</f>
        <v>6202.67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83196-72.02</f>
        <v>83123.98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4247389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72.02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4330585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103737.7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96854.080000000002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7420.89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200591.78</v>
      </c>
      <c r="G135" s="41">
        <f>SUM(G122:G134)</f>
        <v>7420.89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4531176.78</v>
      </c>
      <c r="G139" s="41">
        <f>G120+SUM(G135:G136)</f>
        <v>7420.89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3279.72+137306.81+6336.34</f>
        <v>146922.87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36092.18+6000+82041.4+2949.6+4293.21</f>
        <v>131376.38999999998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133198.05+35747.13+145.27</f>
        <v>169090.44999999998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5418.39+14684.46+272234.79+10380.91+720</f>
        <v>303438.54999999993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50635.08+8226.22</f>
        <v>58861.3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91592.12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58861.3</v>
      </c>
      <c r="G161" s="41">
        <f>SUM(G149:G160)</f>
        <v>169090.44999999998</v>
      </c>
      <c r="H161" s="41">
        <f>SUM(H149:H160)</f>
        <v>673329.92999999993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58861.3</v>
      </c>
      <c r="G168" s="41">
        <f>G146+G161+SUM(G162:G167)</f>
        <v>169090.44999999998</v>
      </c>
      <c r="H168" s="41">
        <f>H146+H161+SUM(H162:H167)</f>
        <v>673329.92999999993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19000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19000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19000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17601077.720000003</v>
      </c>
      <c r="G192" s="47">
        <f>G111+G139+G168+G191</f>
        <v>537177.98</v>
      </c>
      <c r="H192" s="47">
        <f>H111+H139+H168+H191</f>
        <v>673329.92999999993</v>
      </c>
      <c r="I192" s="47">
        <f>I111+I139+I168+I191</f>
        <v>0</v>
      </c>
      <c r="J192" s="47">
        <f>J111+J139+J191</f>
        <v>81202.67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1798108.77+1517319.29+126963.58+247+57864.36+74970.71</f>
        <v>3575473.71</v>
      </c>
      <c r="G196" s="18">
        <v>1473088.96</v>
      </c>
      <c r="H196" s="18">
        <f>(244+17805.08)+(395+15036.22)+104.99</f>
        <v>33585.29</v>
      </c>
      <c r="I196" s="18">
        <f>23089.36+20251.75+27544.11+25439.59</f>
        <v>96324.81</v>
      </c>
      <c r="J196" s="18">
        <f>3119.57+1848.55</f>
        <v>4968.12</v>
      </c>
      <c r="K196" s="18"/>
      <c r="L196" s="19">
        <f>SUM(F196:K196)</f>
        <v>5183440.8899999997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231861.57+319992+105627.72+99386.34+ROUND((81058+66663+14796.26+7181.64+4704.7+437.5)*0.666,2)</f>
        <v>873311.8</v>
      </c>
      <c r="G197" s="18">
        <v>359802.95</v>
      </c>
      <c r="H197" s="18">
        <f>ROUND((939+(90666.35-14796.26-12323.84)+1617.5+1008)*0.666,2)+2350+(262711.82-116937.06)</f>
        <v>192820.52000000002</v>
      </c>
      <c r="I197" s="18">
        <v>3291.25</v>
      </c>
      <c r="J197" s="18"/>
      <c r="K197" s="18">
        <v>323</v>
      </c>
      <c r="L197" s="19">
        <f>SUM(F197:K197)</f>
        <v>1429549.52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6668+4192+5850-1500</f>
        <v>15210</v>
      </c>
      <c r="G199" s="18">
        <v>2882.3</v>
      </c>
      <c r="H199" s="18">
        <f>1943.82+2948.82</f>
        <v>4892.6400000000003</v>
      </c>
      <c r="I199" s="18">
        <f>2004.71+1216.36</f>
        <v>3221.0699999999997</v>
      </c>
      <c r="J199" s="18"/>
      <c r="K199" s="18"/>
      <c r="L199" s="19">
        <f>SUM(F199:K199)</f>
        <v>26206.01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76657.84+74515+71642+44970+110201.1+67194+(130565-33685)+124988.24+13498</f>
        <v>680546.17999999993</v>
      </c>
      <c r="G201" s="18">
        <v>280383.84999999998</v>
      </c>
      <c r="H201" s="18">
        <f>100+100+12705.05</f>
        <v>12905.05</v>
      </c>
      <c r="I201" s="18">
        <f>571.17+524.47+1213.22+1197.43</f>
        <v>3506.29</v>
      </c>
      <c r="J201" s="18">
        <f>276.65+202</f>
        <v>478.65</v>
      </c>
      <c r="K201" s="18"/>
      <c r="L201" s="19">
        <f t="shared" ref="L201:L207" si="0">SUM(F201:K201)</f>
        <v>977820.02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4000+69500+18256+31996+22873.32+((145930+16059+35100+3572)*0.666)</f>
        <v>280265.54599999997</v>
      </c>
      <c r="G202" s="18">
        <v>115468.92</v>
      </c>
      <c r="H202" s="18">
        <f>(5884.07+2536+985.99)+(5175+1926.34+952.04)+9765.89+130+348.74+446.68+2879.03+7256.34</f>
        <v>38286.119999999995</v>
      </c>
      <c r="I202" s="18">
        <f>945.16+949.78+491.98+581.59+850.15+1680.85+292.28+800.5+5650.95+5446.74+ROUND((6419.75+5399.77+32200.36+11337.5)*0.666,2)</f>
        <v>54558</v>
      </c>
      <c r="J202" s="18">
        <f>ROUND((51732.3+4500+276763.49)*0.666,2)</f>
        <v>221775.2</v>
      </c>
      <c r="K202" s="18"/>
      <c r="L202" s="19">
        <f t="shared" si="0"/>
        <v>710353.78599999996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ROUND((190000+49000+30243.47+23545)*0.666,2)</f>
        <v>194997.12</v>
      </c>
      <c r="G203" s="18">
        <v>80832.38</v>
      </c>
      <c r="H203" s="18">
        <f>ROUND((13659.1+7000+15000+3594.78+1965+20369.66+1293.11)*0.666,2)</f>
        <v>41879.18</v>
      </c>
      <c r="I203" s="18">
        <f>ROUND((6614.88+2211.25+1737.08+10702.03+16055+28890)*0.666,2)</f>
        <v>44096.02</v>
      </c>
      <c r="J203" s="18">
        <f>ROUND((2143.73+2495)*0.666,2)</f>
        <v>3089.39</v>
      </c>
      <c r="K203" s="18">
        <f>ROUND((6007.79+10114.88+2819+1775+150+7366.36)*0.666,2)</f>
        <v>18803.2</v>
      </c>
      <c r="L203" s="19">
        <f t="shared" si="0"/>
        <v>383697.29000000004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91235+162135+22800+22800+41781+41957.35</f>
        <v>382708.35</v>
      </c>
      <c r="G204" s="18">
        <v>157675.18</v>
      </c>
      <c r="H204" s="18">
        <f>301.73+2736.26+4146.71+655.57+31.32</f>
        <v>7871.59</v>
      </c>
      <c r="I204" s="18">
        <f>5214.69+4885.83</f>
        <v>10100.52</v>
      </c>
      <c r="J204" s="18"/>
      <c r="K204" s="18">
        <f>964+1783</f>
        <v>2747</v>
      </c>
      <c r="L204" s="19">
        <f t="shared" si="0"/>
        <v>561102.64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22834.03+22833.99+(1765.12*0.666)+117547+152623.63+5882.19+12716.22</f>
        <v>335612.62991999998</v>
      </c>
      <c r="G206" s="18">
        <v>138271.82</v>
      </c>
      <c r="H206" s="18">
        <f>6752.41+405+332+4345.5+6490.02+353.75+1128.85+3864.85+4513.67+4762.67+2500+54889.03+7720+76659.27+26904.02+8252.77+10096+4340.36+6429.28+951.26+14699.24+14592.99</f>
        <v>260982.93999999997</v>
      </c>
      <c r="I206" s="18">
        <f>18391.07+51541.14+27818.79+21427.69+62845.1+28441.16</f>
        <v>210464.95</v>
      </c>
      <c r="J206" s="18">
        <f>10504.72+7455.35+618+2106.26+5569.5</f>
        <v>26253.83</v>
      </c>
      <c r="K206" s="18">
        <f>38.1+208.57</f>
        <v>246.67</v>
      </c>
      <c r="L206" s="19">
        <f t="shared" si="0"/>
        <v>971832.83991999994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195612.9+195612.9+75+(134442-30576)+1741.42+2000+5534.55+5456.3</f>
        <v>509899.06999999995</v>
      </c>
      <c r="I207" s="18"/>
      <c r="J207" s="18"/>
      <c r="K207" s="18"/>
      <c r="L207" s="19">
        <f t="shared" si="0"/>
        <v>509899.06999999995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6338125.3359199995</v>
      </c>
      <c r="G210" s="41">
        <f t="shared" si="1"/>
        <v>2608406.36</v>
      </c>
      <c r="H210" s="41">
        <f t="shared" si="1"/>
        <v>1103122.3999999999</v>
      </c>
      <c r="I210" s="41">
        <f t="shared" si="1"/>
        <v>425562.91</v>
      </c>
      <c r="J210" s="41">
        <f t="shared" si="1"/>
        <v>256565.19</v>
      </c>
      <c r="K210" s="41">
        <f t="shared" si="1"/>
        <v>22119.87</v>
      </c>
      <c r="L210" s="41">
        <f t="shared" si="1"/>
        <v>10753902.065919999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2052475.47+76199.82</f>
        <v>2128675.29</v>
      </c>
      <c r="G214" s="18">
        <v>877010.53</v>
      </c>
      <c r="H214" s="18">
        <f>36.53+17156.87</f>
        <v>17193.399999999998</v>
      </c>
      <c r="I214" s="18">
        <f>35622.3+5280+16865.14+4800</f>
        <v>62567.44</v>
      </c>
      <c r="J214" s="18">
        <f>3105.56</f>
        <v>3105.56</v>
      </c>
      <c r="K214" s="18"/>
      <c r="L214" s="19">
        <f>SUM(F214:K214)</f>
        <v>3088552.22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312484+115318.3+ROUND((81058+66663+14796.26+7181.64+4704.7+437.5)*0.334,2)+71.4</f>
        <v>486270.63</v>
      </c>
      <c r="G215" s="18">
        <v>200342.65</v>
      </c>
      <c r="H215" s="18">
        <f>ROUND((939+(90666.35-14796.26-12323.84)+1617.5+1008)*0.334,2)+(116937.06)</f>
        <v>139352.04999999999</v>
      </c>
      <c r="I215" s="18">
        <v>1695.5</v>
      </c>
      <c r="J215" s="18"/>
      <c r="K215" s="18">
        <v>162</v>
      </c>
      <c r="L215" s="19">
        <f>SUM(F215:K215)</f>
        <v>827822.83000000007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46488.5+12676.01-10275</f>
        <v>48889.51</v>
      </c>
      <c r="G217" s="18">
        <v>9264.5499999999993</v>
      </c>
      <c r="H217" s="18">
        <f>2599.28+20000</f>
        <v>22599.279999999999</v>
      </c>
      <c r="I217" s="18">
        <v>14171.83</v>
      </c>
      <c r="J217" s="18"/>
      <c r="K217" s="18"/>
      <c r="L217" s="19">
        <f>SUM(F217:K217)</f>
        <v>94925.17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108334.55+55815.92+12241.4+33685+19190</f>
        <v>229266.87</v>
      </c>
      <c r="G219" s="18">
        <v>94457.55</v>
      </c>
      <c r="H219" s="18">
        <f>300+10030</f>
        <v>10330</v>
      </c>
      <c r="I219" s="18">
        <f>588.37+1512.25</f>
        <v>2100.62</v>
      </c>
      <c r="J219" s="18">
        <v>150</v>
      </c>
      <c r="K219" s="18"/>
      <c r="L219" s="19">
        <f t="shared" ref="L219:L225" si="2">SUM(F219:K219)</f>
        <v>336305.04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81216+4154.8+10275+((145930+35100+16059+3572)*0.334)</f>
        <v>162666.57400000002</v>
      </c>
      <c r="G220" s="18">
        <v>67018.350000000006</v>
      </c>
      <c r="H220" s="18">
        <f>(5696.1+3856.85+1389)+4897.61+1443.83+21769.02</f>
        <v>39052.410000000003</v>
      </c>
      <c r="I220" s="18">
        <f>821.2+684.02+1425.4+5944.88+ROUND((6419.75+5399.77+32200.36+11337.5)*0.334,2)</f>
        <v>27364.86</v>
      </c>
      <c r="J220" s="18">
        <f>ROUND((51732.3+4500+276763.49)*0.334,2)</f>
        <v>111220.59</v>
      </c>
      <c r="K220" s="18"/>
      <c r="L220" s="19">
        <f t="shared" si="2"/>
        <v>407322.78399999999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ROUND((190000+49000+30243.47+23545)*0.334,2)</f>
        <v>97791.35</v>
      </c>
      <c r="G221" s="18">
        <v>40537.56</v>
      </c>
      <c r="H221" s="18">
        <f>ROUND((13659.1+7000+15000+3594.78+1965+20369.66+1293.11)*0.334,2)</f>
        <v>21002.47</v>
      </c>
      <c r="I221" s="18">
        <f>ROUND((6614.88+2211.25+1737.08+10702.03+16055+28890)*0.334,2)</f>
        <v>22114.22</v>
      </c>
      <c r="J221" s="18">
        <f>ROUND((2143.73+2495)*0.334,2)</f>
        <v>1549.34</v>
      </c>
      <c r="K221" s="18">
        <f>ROUND((6007.79+10114.88+2819+1775+150+7366.36)*0.334,2)</f>
        <v>9429.83</v>
      </c>
      <c r="L221" s="19">
        <f t="shared" si="2"/>
        <v>192424.77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173603+24523+35604</f>
        <v>233730</v>
      </c>
      <c r="G222" s="18">
        <v>96296.35</v>
      </c>
      <c r="H222" s="18">
        <f>1183.8+7188.04+602.88+2226.01</f>
        <v>11200.73</v>
      </c>
      <c r="I222" s="18">
        <f>9162.43</f>
        <v>9162.43</v>
      </c>
      <c r="J222" s="18"/>
      <c r="K222" s="18">
        <v>1595</v>
      </c>
      <c r="L222" s="19">
        <f t="shared" si="2"/>
        <v>351984.50999999995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22833.98+(1765.12*0.334)+130315.81+17036.13</f>
        <v>170775.47008</v>
      </c>
      <c r="G224" s="18">
        <v>70359.199999999997</v>
      </c>
      <c r="H224" s="18">
        <f>3202.25+405+332+3568.53+4214.66+77869.34+9689+13833.81+6376.28+477.06+14585</f>
        <v>134552.93</v>
      </c>
      <c r="I224" s="18">
        <f>22786.23+66693.82+41819.51</f>
        <v>131299.56</v>
      </c>
      <c r="J224" s="18">
        <f>7286.72+1744.95+5891.5</f>
        <v>14923.17</v>
      </c>
      <c r="K224" s="18">
        <v>70.19</v>
      </c>
      <c r="L224" s="19">
        <f t="shared" si="2"/>
        <v>521980.52007999999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195612.9+30576+8882.12+972+5063.8</f>
        <v>241106.81999999998</v>
      </c>
      <c r="I225" s="18"/>
      <c r="J225" s="18"/>
      <c r="K225" s="18"/>
      <c r="L225" s="19">
        <f t="shared" si="2"/>
        <v>241106.81999999998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3558065.6940799998</v>
      </c>
      <c r="G228" s="41">
        <f>SUM(G214:G227)</f>
        <v>1455286.7400000002</v>
      </c>
      <c r="H228" s="41">
        <f>SUM(H214:H227)</f>
        <v>636390.09</v>
      </c>
      <c r="I228" s="41">
        <f>SUM(I214:I227)</f>
        <v>270476.45999999996</v>
      </c>
      <c r="J228" s="41">
        <f>SUM(J214:J227)</f>
        <v>130948.65999999999</v>
      </c>
      <c r="K228" s="41">
        <f t="shared" si="3"/>
        <v>11257.02</v>
      </c>
      <c r="L228" s="41">
        <f t="shared" si="3"/>
        <v>6062424.6640799996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12425</v>
      </c>
      <c r="G249" s="18">
        <v>950.46</v>
      </c>
      <c r="H249" s="18">
        <f>3900+9750.26</f>
        <v>13650.26</v>
      </c>
      <c r="I249" s="18">
        <f>4155.8+7181.72</f>
        <v>11337.52</v>
      </c>
      <c r="J249" s="18"/>
      <c r="K249" s="18">
        <v>5678.04</v>
      </c>
      <c r="L249" s="19">
        <f t="shared" ref="L249:L254" si="6">SUM(F249:K249)</f>
        <v>44041.280000000006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>
        <v>266.36</v>
      </c>
      <c r="I252" s="18">
        <v>455</v>
      </c>
      <c r="J252" s="18"/>
      <c r="K252" s="18"/>
      <c r="L252" s="19">
        <f t="shared" si="6"/>
        <v>721.36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183403.13+22579</f>
        <v>205982.13</v>
      </c>
      <c r="I254" s="18"/>
      <c r="J254" s="18"/>
      <c r="K254" s="18"/>
      <c r="L254" s="19">
        <f t="shared" si="6"/>
        <v>205982.13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12425</v>
      </c>
      <c r="G255" s="41">
        <f t="shared" si="7"/>
        <v>950.46</v>
      </c>
      <c r="H255" s="41">
        <f t="shared" si="7"/>
        <v>219898.75</v>
      </c>
      <c r="I255" s="41">
        <f t="shared" si="7"/>
        <v>11792.52</v>
      </c>
      <c r="J255" s="41">
        <f t="shared" si="7"/>
        <v>0</v>
      </c>
      <c r="K255" s="41">
        <f t="shared" si="7"/>
        <v>5678.04</v>
      </c>
      <c r="L255" s="41">
        <f>SUM(F255:K255)</f>
        <v>250744.77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9908616.0299999993</v>
      </c>
      <c r="G256" s="41">
        <f t="shared" si="8"/>
        <v>4064643.56</v>
      </c>
      <c r="H256" s="41">
        <f t="shared" si="8"/>
        <v>1959411.2399999998</v>
      </c>
      <c r="I256" s="41">
        <f t="shared" si="8"/>
        <v>707831.8899999999</v>
      </c>
      <c r="J256" s="41">
        <f t="shared" si="8"/>
        <v>387513.85</v>
      </c>
      <c r="K256" s="41">
        <f t="shared" si="8"/>
        <v>39054.93</v>
      </c>
      <c r="L256" s="41">
        <f t="shared" si="8"/>
        <v>17067071.499999996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335000</v>
      </c>
      <c r="L259" s="19">
        <f>SUM(F259:K259)</f>
        <v>335000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133362.5</v>
      </c>
      <c r="L260" s="19">
        <f>SUM(F260:K260)</f>
        <v>133362.5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19000</v>
      </c>
      <c r="L262" s="19">
        <f>SUM(F262:K262)</f>
        <v>19000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562362.5</v>
      </c>
      <c r="L269" s="41">
        <f t="shared" si="9"/>
        <v>562362.5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9908616.0299999993</v>
      </c>
      <c r="G270" s="42">
        <f t="shared" si="11"/>
        <v>4064643.56</v>
      </c>
      <c r="H270" s="42">
        <f t="shared" si="11"/>
        <v>1959411.2399999998</v>
      </c>
      <c r="I270" s="42">
        <f t="shared" si="11"/>
        <v>707831.8899999999</v>
      </c>
      <c r="J270" s="42">
        <f t="shared" si="11"/>
        <v>387513.85</v>
      </c>
      <c r="K270" s="42">
        <f t="shared" si="11"/>
        <v>601417.43000000005</v>
      </c>
      <c r="L270" s="42">
        <f t="shared" si="11"/>
        <v>17629433.999999996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244368.55</v>
      </c>
      <c r="G275" s="18">
        <v>34011.120000000003</v>
      </c>
      <c r="H275" s="18">
        <v>35860.93</v>
      </c>
      <c r="I275" s="18">
        <v>8215.49</v>
      </c>
      <c r="J275" s="18">
        <v>2913.62</v>
      </c>
      <c r="K275" s="18">
        <v>472.39</v>
      </c>
      <c r="L275" s="19">
        <f>SUM(F275:K275)</f>
        <v>325842.09999999998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84780.52</v>
      </c>
      <c r="G276" s="18">
        <v>7271.61</v>
      </c>
      <c r="H276" s="18">
        <v>81168.56</v>
      </c>
      <c r="I276" s="18">
        <v>7967</v>
      </c>
      <c r="J276" s="18">
        <v>2856</v>
      </c>
      <c r="K276" s="18"/>
      <c r="L276" s="19">
        <f>SUM(F276:K276)</f>
        <v>184043.69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2559.19</v>
      </c>
      <c r="L282" s="19">
        <f t="shared" si="12"/>
        <v>2559.19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329149.07</v>
      </c>
      <c r="G289" s="42">
        <f t="shared" si="13"/>
        <v>41282.730000000003</v>
      </c>
      <c r="H289" s="42">
        <f t="shared" si="13"/>
        <v>117029.48999999999</v>
      </c>
      <c r="I289" s="42">
        <f t="shared" si="13"/>
        <v>16182.49</v>
      </c>
      <c r="J289" s="42">
        <f t="shared" si="13"/>
        <v>5769.62</v>
      </c>
      <c r="K289" s="42">
        <f t="shared" si="13"/>
        <v>3031.58</v>
      </c>
      <c r="L289" s="41">
        <f t="shared" si="13"/>
        <v>512444.98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11393.92</v>
      </c>
      <c r="G294" s="18">
        <v>1659.3</v>
      </c>
      <c r="H294" s="18">
        <v>23907.279999999999</v>
      </c>
      <c r="I294" s="18">
        <v>4737.66</v>
      </c>
      <c r="J294" s="18">
        <v>1942.42</v>
      </c>
      <c r="K294" s="18">
        <v>314.93</v>
      </c>
      <c r="L294" s="19">
        <f>SUM(F294:K294)</f>
        <v>43955.51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52194.74</v>
      </c>
      <c r="G295" s="18">
        <v>4815.57</v>
      </c>
      <c r="H295" s="18">
        <v>52597.74</v>
      </c>
      <c r="I295" s="18">
        <v>3810.1</v>
      </c>
      <c r="J295" s="18">
        <v>1904</v>
      </c>
      <c r="K295" s="18"/>
      <c r="L295" s="19">
        <f>SUM(F295:K295)</f>
        <v>115322.15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f>1607.16+0.13</f>
        <v>1607.2900000000002</v>
      </c>
      <c r="L301" s="19">
        <f t="shared" si="14"/>
        <v>1607.2900000000002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63588.659999999996</v>
      </c>
      <c r="G308" s="42">
        <f t="shared" si="15"/>
        <v>6474.87</v>
      </c>
      <c r="H308" s="42">
        <f t="shared" si="15"/>
        <v>76505.01999999999</v>
      </c>
      <c r="I308" s="42">
        <f t="shared" si="15"/>
        <v>8547.76</v>
      </c>
      <c r="J308" s="42">
        <f t="shared" si="15"/>
        <v>3846.42</v>
      </c>
      <c r="K308" s="42">
        <f t="shared" si="15"/>
        <v>1922.2200000000003</v>
      </c>
      <c r="L308" s="41">
        <f t="shared" si="15"/>
        <v>160884.95000000001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392737.73</v>
      </c>
      <c r="G337" s="41">
        <f t="shared" si="20"/>
        <v>47757.600000000006</v>
      </c>
      <c r="H337" s="41">
        <f t="shared" si="20"/>
        <v>193534.50999999998</v>
      </c>
      <c r="I337" s="41">
        <f t="shared" si="20"/>
        <v>24730.25</v>
      </c>
      <c r="J337" s="41">
        <f t="shared" si="20"/>
        <v>9616.0400000000009</v>
      </c>
      <c r="K337" s="41">
        <f t="shared" si="20"/>
        <v>4953.8</v>
      </c>
      <c r="L337" s="41">
        <f t="shared" si="20"/>
        <v>673329.92999999993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392737.73</v>
      </c>
      <c r="G351" s="41">
        <f>G337</f>
        <v>47757.600000000006</v>
      </c>
      <c r="H351" s="41">
        <f>H337</f>
        <v>193534.50999999998</v>
      </c>
      <c r="I351" s="41">
        <f>I337</f>
        <v>24730.25</v>
      </c>
      <c r="J351" s="41">
        <f>J337</f>
        <v>9616.0400000000009</v>
      </c>
      <c r="K351" s="47">
        <f>K337+K350</f>
        <v>4953.8</v>
      </c>
      <c r="L351" s="41">
        <f>L337+L350</f>
        <v>673329.92999999993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ROUND((54737+200083.84)*0.666,2)</f>
        <v>169710.68</v>
      </c>
      <c r="G357" s="18"/>
      <c r="H357" s="18">
        <f>ROUND((11272.62+474.66)*0.666,2)</f>
        <v>7823.69</v>
      </c>
      <c r="I357" s="18">
        <f>ROUND((13691.45+16331.12+14938.55+127826.11+90504.99+2620.2)*0.666,2)</f>
        <v>177097.67</v>
      </c>
      <c r="J357" s="18">
        <v>5.57</v>
      </c>
      <c r="K357" s="18">
        <f>ROUND(4761.25*0.666,2)</f>
        <v>3170.99</v>
      </c>
      <c r="L357" s="13">
        <f>SUM(F357:K357)</f>
        <v>357808.60000000003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ROUND((54737+200083.84)*0.334,2)</f>
        <v>85110.16</v>
      </c>
      <c r="G358" s="18"/>
      <c r="H358" s="18">
        <f>ROUND((11272.62+474.66)*0.334,2)</f>
        <v>3923.59</v>
      </c>
      <c r="I358" s="18">
        <f>ROUND((13691.45+16331.12+14938.55+127826.11+90504.99+2620.2)*0.334,2)</f>
        <v>88814.75</v>
      </c>
      <c r="J358" s="18"/>
      <c r="K358" s="18">
        <f>ROUND(4761.25*0.334,2)</f>
        <v>1590.26</v>
      </c>
      <c r="L358" s="19">
        <f>SUM(F358:K358)</f>
        <v>179438.76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254820.84</v>
      </c>
      <c r="G361" s="47">
        <f t="shared" si="22"/>
        <v>0</v>
      </c>
      <c r="H361" s="47">
        <f t="shared" si="22"/>
        <v>11747.279999999999</v>
      </c>
      <c r="I361" s="47">
        <f t="shared" si="22"/>
        <v>265912.42000000004</v>
      </c>
      <c r="J361" s="47">
        <f t="shared" si="22"/>
        <v>5.57</v>
      </c>
      <c r="K361" s="47">
        <f t="shared" si="22"/>
        <v>4761.25</v>
      </c>
      <c r="L361" s="47">
        <f t="shared" si="22"/>
        <v>537247.3600000001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ROUND((14938.55+127826.11+90504.99+2620.2)*0.666,2)</f>
        <v>157102.64000000001</v>
      </c>
      <c r="G366" s="18">
        <f>ROUND((14938.55+127826.11+90504.99+2620.2)*0.334,2)</f>
        <v>78787.210000000006</v>
      </c>
      <c r="H366" s="18"/>
      <c r="I366" s="56">
        <f>SUM(F366:H366)</f>
        <v>235889.85000000003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ROUND((13691.45+16331.12)*0.666,2)</f>
        <v>19995.03</v>
      </c>
      <c r="G367" s="63">
        <f>ROUND((13691.45+16331.12)*0.334,2)</f>
        <v>10027.540000000001</v>
      </c>
      <c r="H367" s="63"/>
      <c r="I367" s="56">
        <f>SUM(F367:H367)</f>
        <v>30022.57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177097.67</v>
      </c>
      <c r="G368" s="47">
        <f>SUM(G366:G367)</f>
        <v>88814.75</v>
      </c>
      <c r="H368" s="47">
        <f>SUM(H366:H367)</f>
        <v>0</v>
      </c>
      <c r="I368" s="47">
        <f>SUM(I366:I367)</f>
        <v>265912.42000000004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75000</v>
      </c>
      <c r="H396" s="18">
        <f>3583.67+2619</f>
        <v>6202.67</v>
      </c>
      <c r="I396" s="18"/>
      <c r="J396" s="24" t="s">
        <v>289</v>
      </c>
      <c r="K396" s="24" t="s">
        <v>289</v>
      </c>
      <c r="L396" s="56">
        <f t="shared" si="26"/>
        <v>81202.67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6202.67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81202.67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6202.67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81202.67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133448.97</v>
      </c>
      <c r="H439" s="18"/>
      <c r="I439" s="56">
        <f t="shared" si="33"/>
        <v>133448.97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133448.97</v>
      </c>
      <c r="H445" s="13">
        <f>SUM(H438:H444)</f>
        <v>0</v>
      </c>
      <c r="I445" s="13">
        <f>SUM(I438:I444)</f>
        <v>133448.97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133448.97</v>
      </c>
      <c r="H458" s="18"/>
      <c r="I458" s="56">
        <f t="shared" si="34"/>
        <v>133448.97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133448.97</v>
      </c>
      <c r="H459" s="83">
        <f>SUM(H453:H458)</f>
        <v>0</v>
      </c>
      <c r="I459" s="83">
        <f>SUM(I453:I458)</f>
        <v>133448.97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133448.97</v>
      </c>
      <c r="H460" s="42">
        <f>H451+H459</f>
        <v>0</v>
      </c>
      <c r="I460" s="42">
        <f>I451+I459</f>
        <v>133448.97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812465.82</v>
      </c>
      <c r="G464" s="18">
        <f>521.28</f>
        <v>521.28</v>
      </c>
      <c r="H464" s="18">
        <v>0</v>
      </c>
      <c r="I464" s="18">
        <v>0</v>
      </c>
      <c r="J464" s="18">
        <f>51047.19+1199.11+814.81</f>
        <v>53061.11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17601077.719999999</v>
      </c>
      <c r="G467" s="18">
        <f>518889.09+19000-711.11</f>
        <v>537177.9800000001</v>
      </c>
      <c r="H467" s="18">
        <v>673329.93</v>
      </c>
      <c r="I467" s="18"/>
      <c r="J467" s="18">
        <f>75000+3583.67+2619</f>
        <v>81202.67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17601077.719999999</v>
      </c>
      <c r="G469" s="53">
        <f>SUM(G467:G468)</f>
        <v>537177.9800000001</v>
      </c>
      <c r="H469" s="53">
        <f>SUM(H467:H468)</f>
        <v>673329.93</v>
      </c>
      <c r="I469" s="53">
        <f>SUM(I467:I468)</f>
        <v>0</v>
      </c>
      <c r="J469" s="53">
        <f>SUM(J467:J468)</f>
        <v>81202.67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17186902.61-116-90+96594.52+75000+19000+(183403.13+22579)+44041.28+1293.11+721.36+104.99</f>
        <v>17629433.999999996</v>
      </c>
      <c r="G471" s="18">
        <v>537247.36</v>
      </c>
      <c r="H471" s="18">
        <v>673329.93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>
        <v>814.81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17629433.999999996</v>
      </c>
      <c r="G473" s="53">
        <f>SUM(G471:G472)</f>
        <v>537247.36</v>
      </c>
      <c r="H473" s="53">
        <f>SUM(H471:H472)</f>
        <v>673329.93</v>
      </c>
      <c r="I473" s="53">
        <f>SUM(I471:I472)</f>
        <v>0</v>
      </c>
      <c r="J473" s="53">
        <f>SUM(J471:J472)</f>
        <v>814.81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784109.54000000283</v>
      </c>
      <c r="G475" s="53">
        <f>(G464+G469)- G473</f>
        <v>451.9000000001397</v>
      </c>
      <c r="H475" s="53">
        <f>(H464+H469)- H473</f>
        <v>0</v>
      </c>
      <c r="I475" s="53">
        <f>(I464+I469)- I473</f>
        <v>0</v>
      </c>
      <c r="J475" s="53">
        <f>(J464+J469)- J473</f>
        <v>133448.97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914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3970000</v>
      </c>
      <c r="G492" s="18">
        <v>1770000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5.71</v>
      </c>
      <c r="G493" s="18">
        <v>4.91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1685000</v>
      </c>
      <c r="G494" s="18">
        <v>915000</v>
      </c>
      <c r="H494" s="18"/>
      <c r="I494" s="18"/>
      <c r="J494" s="18"/>
      <c r="K494" s="53">
        <f>SUM(F494:J494)</f>
        <v>2600000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240000</v>
      </c>
      <c r="G496" s="18">
        <v>95000</v>
      </c>
      <c r="H496" s="18"/>
      <c r="I496" s="18"/>
      <c r="J496" s="18"/>
      <c r="K496" s="53">
        <f t="shared" si="35"/>
        <v>335000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1445000</v>
      </c>
      <c r="G497" s="205">
        <v>820000</v>
      </c>
      <c r="H497" s="205"/>
      <c r="I497" s="205"/>
      <c r="J497" s="205"/>
      <c r="K497" s="206">
        <f t="shared" si="35"/>
        <v>2265000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41543.75+34212.5+34212.5+26450+26450+18112.5+18112.5+9343.75+9343.75</f>
        <v>217781.25</v>
      </c>
      <c r="G498" s="18">
        <f>20500+18000+18000+15375+15375+12625+12625+9750+9750+6625+6625+3375+3375</f>
        <v>152000</v>
      </c>
      <c r="H498" s="18"/>
      <c r="I498" s="18"/>
      <c r="J498" s="18"/>
      <c r="K498" s="53">
        <f t="shared" si="35"/>
        <v>369781.25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1662781.25</v>
      </c>
      <c r="G499" s="42">
        <f>SUM(G497:G498)</f>
        <v>972000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2634781.25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255000</v>
      </c>
      <c r="G500" s="205">
        <v>100000</v>
      </c>
      <c r="H500" s="205"/>
      <c r="I500" s="205"/>
      <c r="J500" s="205"/>
      <c r="K500" s="206">
        <f t="shared" si="35"/>
        <v>355000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41543.75+34212.5</f>
        <v>75756.25</v>
      </c>
      <c r="G501" s="18">
        <f>20500+18000</f>
        <v>38500</v>
      </c>
      <c r="H501" s="18"/>
      <c r="I501" s="18"/>
      <c r="J501" s="18"/>
      <c r="K501" s="53">
        <f t="shared" si="35"/>
        <v>114256.25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330756.25</v>
      </c>
      <c r="G502" s="42">
        <f>SUM(G500:G501)</f>
        <v>138500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469256.25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873311.8-F530+84780.52</f>
        <v>859710.13000000012</v>
      </c>
      <c r="G520" s="18">
        <f>359802.95-G530-G525+7271.61</f>
        <v>234980.02000000002</v>
      </c>
      <c r="H520" s="18">
        <v>198195.5</v>
      </c>
      <c r="I520" s="18">
        <v>3291.25</v>
      </c>
      <c r="J520" s="18">
        <v>2856</v>
      </c>
      <c r="K520" s="18">
        <v>323</v>
      </c>
      <c r="L520" s="88">
        <f>SUM(F520:K520)</f>
        <v>1299355.9000000001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486270.63-F531+52194.74</f>
        <v>489126.56</v>
      </c>
      <c r="G521" s="18">
        <f>200342.65-G531-G526+4815.57</f>
        <v>133412.44</v>
      </c>
      <c r="H521" s="18">
        <v>133977.07</v>
      </c>
      <c r="I521" s="18">
        <v>1695.5</v>
      </c>
      <c r="J521" s="18">
        <v>1904</v>
      </c>
      <c r="K521" s="18">
        <v>162</v>
      </c>
      <c r="L521" s="88">
        <f>SUM(F521:K521)</f>
        <v>760277.57000000007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1348836.6900000002</v>
      </c>
      <c r="G523" s="108">
        <f t="shared" ref="G523:L523" si="36">SUM(G520:G522)</f>
        <v>368392.46</v>
      </c>
      <c r="H523" s="108">
        <f t="shared" si="36"/>
        <v>332172.57</v>
      </c>
      <c r="I523" s="108">
        <f t="shared" si="36"/>
        <v>4986.75</v>
      </c>
      <c r="J523" s="108">
        <f t="shared" si="36"/>
        <v>4760</v>
      </c>
      <c r="K523" s="108">
        <f t="shared" si="36"/>
        <v>485</v>
      </c>
      <c r="L523" s="89">
        <f t="shared" si="36"/>
        <v>2059633.4700000002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63196+124988.24+110201.1+67194</f>
        <v>365579.33999999997</v>
      </c>
      <c r="G525" s="18">
        <f>69277.28+15156+1750+8425.2</f>
        <v>94608.48</v>
      </c>
      <c r="H525" s="18">
        <f>10030+12705.05+81168.56</f>
        <v>103903.61</v>
      </c>
      <c r="I525" s="18">
        <v>7967</v>
      </c>
      <c r="J525" s="18"/>
      <c r="K525" s="18"/>
      <c r="L525" s="88">
        <f>SUM(F525:K525)</f>
        <v>572058.42999999993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67369+19190+12241.4</f>
        <v>98800.4</v>
      </c>
      <c r="G526" s="18">
        <f>18722.68+13716</f>
        <v>32438.68</v>
      </c>
      <c r="H526" s="18">
        <v>52597.74</v>
      </c>
      <c r="I526" s="18">
        <v>3810.1</v>
      </c>
      <c r="J526" s="18"/>
      <c r="K526" s="18"/>
      <c r="L526" s="88">
        <f>SUM(F526:K526)</f>
        <v>187646.91999999998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464379.74</v>
      </c>
      <c r="G528" s="89">
        <f t="shared" ref="G528:L528" si="37">SUM(G525:G527)</f>
        <v>127047.16</v>
      </c>
      <c r="H528" s="89">
        <f t="shared" si="37"/>
        <v>156501.35</v>
      </c>
      <c r="I528" s="89">
        <f t="shared" si="37"/>
        <v>11777.1</v>
      </c>
      <c r="J528" s="89">
        <f t="shared" si="37"/>
        <v>0</v>
      </c>
      <c r="K528" s="89">
        <f t="shared" si="37"/>
        <v>0</v>
      </c>
      <c r="L528" s="89">
        <f t="shared" si="37"/>
        <v>759705.34999999986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ROUND((81058+66663)*0.666,2)</f>
        <v>98382.19</v>
      </c>
      <c r="G530" s="18">
        <f>18692.62+18793.44</f>
        <v>37486.06</v>
      </c>
      <c r="H530" s="18"/>
      <c r="I530" s="18"/>
      <c r="J530" s="18"/>
      <c r="K530" s="18"/>
      <c r="L530" s="88">
        <f>SUM(F530:K530)</f>
        <v>135868.25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ROUND((81058+66663)*0.334,2)</f>
        <v>49338.81</v>
      </c>
      <c r="G531" s="18">
        <f>9349.7+29957.4</f>
        <v>39307.100000000006</v>
      </c>
      <c r="H531" s="18"/>
      <c r="I531" s="18"/>
      <c r="J531" s="18"/>
      <c r="K531" s="18"/>
      <c r="L531" s="88">
        <f>SUM(F531:K531)</f>
        <v>88645.91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147721</v>
      </c>
      <c r="G533" s="89">
        <f t="shared" ref="G533:L533" si="38">SUM(G530:G532)</f>
        <v>76793.16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224514.16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103941</v>
      </c>
      <c r="I540" s="18"/>
      <c r="J540" s="18"/>
      <c r="K540" s="18"/>
      <c r="L540" s="88">
        <f>SUM(F540:K540)</f>
        <v>103941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30576</v>
      </c>
      <c r="I541" s="18"/>
      <c r="J541" s="18"/>
      <c r="K541" s="18"/>
      <c r="L541" s="88">
        <f>SUM(F541:K541)</f>
        <v>30576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134517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134517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1960937.4300000002</v>
      </c>
      <c r="G544" s="89">
        <f t="shared" ref="G544:L544" si="41">G523+G528+G533+G538+G543</f>
        <v>572232.78</v>
      </c>
      <c r="H544" s="89">
        <f t="shared" si="41"/>
        <v>623190.92000000004</v>
      </c>
      <c r="I544" s="89">
        <f t="shared" si="41"/>
        <v>16763.849999999999</v>
      </c>
      <c r="J544" s="89">
        <f t="shared" si="41"/>
        <v>4760</v>
      </c>
      <c r="K544" s="89">
        <f t="shared" si="41"/>
        <v>485</v>
      </c>
      <c r="L544" s="89">
        <f t="shared" si="41"/>
        <v>3178369.9800000004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1299355.9000000001</v>
      </c>
      <c r="G548" s="87">
        <f>L525</f>
        <v>572058.42999999993</v>
      </c>
      <c r="H548" s="87">
        <f>L530</f>
        <v>135868.25</v>
      </c>
      <c r="I548" s="87">
        <f>L535</f>
        <v>0</v>
      </c>
      <c r="J548" s="87">
        <f>L540</f>
        <v>103941</v>
      </c>
      <c r="K548" s="87">
        <f>SUM(F548:J548)</f>
        <v>2111223.58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760277.57000000007</v>
      </c>
      <c r="G549" s="87">
        <f>L526</f>
        <v>187646.91999999998</v>
      </c>
      <c r="H549" s="87">
        <f>L531</f>
        <v>88645.91</v>
      </c>
      <c r="I549" s="87">
        <f>L536</f>
        <v>0</v>
      </c>
      <c r="J549" s="87">
        <f>L541</f>
        <v>30576</v>
      </c>
      <c r="K549" s="87">
        <f>SUM(F549:J549)</f>
        <v>1067146.3999999999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2059633.4700000002</v>
      </c>
      <c r="G551" s="89">
        <f t="shared" si="42"/>
        <v>759705.34999999986</v>
      </c>
      <c r="H551" s="89">
        <f t="shared" si="42"/>
        <v>224514.16</v>
      </c>
      <c r="I551" s="89">
        <f t="shared" si="42"/>
        <v>0</v>
      </c>
      <c r="J551" s="89">
        <f t="shared" si="42"/>
        <v>134517</v>
      </c>
      <c r="K551" s="89">
        <f t="shared" si="42"/>
        <v>3178369.98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51680.54</v>
      </c>
      <c r="G578" s="18"/>
      <c r="H578" s="18"/>
      <c r="I578" s="87">
        <f t="shared" si="47"/>
        <v>51680.54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2350+690+38906.62+5500+2558.26+40483.71+5955.69</f>
        <v>96444.28</v>
      </c>
      <c r="G581" s="18">
        <f>5250+271.32+14850+96440.76+124.98</f>
        <v>116937.05999999998</v>
      </c>
      <c r="H581" s="18"/>
      <c r="I581" s="87">
        <f t="shared" si="47"/>
        <v>213381.33999999997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195612.9*2</f>
        <v>391225.8</v>
      </c>
      <c r="I590" s="18">
        <v>195612.9</v>
      </c>
      <c r="J590" s="18"/>
      <c r="K590" s="104">
        <f t="shared" ref="K590:K596" si="48">SUM(H590:J590)</f>
        <v>586838.69999999995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75+134442-30576</f>
        <v>103941</v>
      </c>
      <c r="I591" s="18">
        <v>30576</v>
      </c>
      <c r="J591" s="18"/>
      <c r="K591" s="104">
        <f t="shared" si="48"/>
        <v>134517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8882.1200000000008</v>
      </c>
      <c r="J593" s="18"/>
      <c r="K593" s="104">
        <f t="shared" si="48"/>
        <v>8882.1200000000008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1741.42+2000</f>
        <v>3741.42</v>
      </c>
      <c r="I594" s="18">
        <v>972</v>
      </c>
      <c r="J594" s="18"/>
      <c r="K594" s="104">
        <f t="shared" si="48"/>
        <v>4713.42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5534.55+5456.3</f>
        <v>10990.85</v>
      </c>
      <c r="I596" s="18">
        <v>5063.8</v>
      </c>
      <c r="J596" s="18"/>
      <c r="K596" s="104">
        <f t="shared" si="48"/>
        <v>16054.650000000001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509899.06999999995</v>
      </c>
      <c r="I597" s="108">
        <f>SUM(I590:I596)</f>
        <v>241106.81999999998</v>
      </c>
      <c r="J597" s="108">
        <f>SUM(J590:J596)</f>
        <v>0</v>
      </c>
      <c r="K597" s="108">
        <f>SUM(K590:K596)</f>
        <v>751005.89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10504.72+7455.35+3119.57+1848.55+276.65+202+618+2106.26+ROUND((5569.5+51732.3+276763.49+2143.73+4500+5891.5+2495)*0.666,2)+5769.62</f>
        <v>264398.34000000003</v>
      </c>
      <c r="I603" s="18">
        <f>7286.72+3105.56+150+744.95+1000+ROUND((5569.5+51732.3+276763.49+2143.73+4500+5891.5+2495)*0.334,2)+3846.42</f>
        <v>132731.54999999999</v>
      </c>
      <c r="J603" s="18"/>
      <c r="K603" s="104">
        <f>SUM(H603:J603)</f>
        <v>397129.89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264398.34000000003</v>
      </c>
      <c r="I604" s="108">
        <f>SUM(I601:I603)</f>
        <v>132731.54999999999</v>
      </c>
      <c r="J604" s="108">
        <f>SUM(J601:J603)</f>
        <v>0</v>
      </c>
      <c r="K604" s="108">
        <f>SUM(K601:K603)</f>
        <v>397129.89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1014298.63</v>
      </c>
      <c r="H616" s="109">
        <f>SUM(F51)</f>
        <v>1014298.6300000001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855.77</v>
      </c>
      <c r="H617" s="109">
        <f>SUM(G51)</f>
        <v>855.77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171311.23</v>
      </c>
      <c r="H618" s="109">
        <f>SUM(H51)</f>
        <v>171311.23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133448.97</v>
      </c>
      <c r="H620" s="109">
        <f>SUM(J51)</f>
        <v>133448.97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784109.54</v>
      </c>
      <c r="H621" s="109">
        <f>F475</f>
        <v>784109.54000000283</v>
      </c>
      <c r="I621" s="121" t="s">
        <v>101</v>
      </c>
      <c r="J621" s="109">
        <f t="shared" ref="J621:J654" si="50">G621-H621</f>
        <v>-2.7939677238464355E-9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451.9</v>
      </c>
      <c r="H622" s="109">
        <f>G475</f>
        <v>451.9000000001397</v>
      </c>
      <c r="I622" s="121" t="s">
        <v>102</v>
      </c>
      <c r="J622" s="109">
        <f t="shared" si="50"/>
        <v>-1.397211235598661E-10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133448.97</v>
      </c>
      <c r="H625" s="109">
        <f>J475</f>
        <v>133448.97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17601077.720000003</v>
      </c>
      <c r="H626" s="104">
        <f>SUM(F467)</f>
        <v>17601077.719999999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537177.98</v>
      </c>
      <c r="H627" s="104">
        <f>SUM(G467)</f>
        <v>537177.9800000001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673329.92999999993</v>
      </c>
      <c r="H628" s="104">
        <f>SUM(H467)</f>
        <v>673329.93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81202.67</v>
      </c>
      <c r="H630" s="104">
        <f>SUM(J467)</f>
        <v>81202.67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17629433.999999996</v>
      </c>
      <c r="H631" s="104">
        <f>SUM(F471)</f>
        <v>17629433.999999996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673329.92999999993</v>
      </c>
      <c r="H632" s="104">
        <f>SUM(H471)</f>
        <v>673329.93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265912.42000000004</v>
      </c>
      <c r="H633" s="104">
        <f>I368</f>
        <v>265912.42000000004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537247.3600000001</v>
      </c>
      <c r="H634" s="104">
        <f>SUM(G471)</f>
        <v>537247.36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81202.67</v>
      </c>
      <c r="H636" s="164">
        <f>SUM(J467)</f>
        <v>81202.67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133448.97</v>
      </c>
      <c r="H639" s="104">
        <f>SUM(G460)</f>
        <v>133448.97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133448.97</v>
      </c>
      <c r="H641" s="104">
        <f>SUM(I460)</f>
        <v>133448.97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6202.67</v>
      </c>
      <c r="H643" s="104">
        <f>H407</f>
        <v>6202.67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81202.67</v>
      </c>
      <c r="H645" s="104">
        <f>L407</f>
        <v>81202.67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751005.89</v>
      </c>
      <c r="H646" s="104">
        <f>L207+L225+L243</f>
        <v>751005.8899999999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397129.89</v>
      </c>
      <c r="H647" s="104">
        <f>(J256+J337)-(J254+J335)</f>
        <v>397129.88999999996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509899.06999999995</v>
      </c>
      <c r="H648" s="104">
        <f>H597</f>
        <v>509899.06999999995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241106.81999999998</v>
      </c>
      <c r="H649" s="104">
        <f>I597</f>
        <v>241106.81999999998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19000</v>
      </c>
      <c r="H651" s="104">
        <f>K262+K344</f>
        <v>19000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11624155.645919999</v>
      </c>
      <c r="G659" s="19">
        <f>(L228+L308+L358)</f>
        <v>6402748.3740799995</v>
      </c>
      <c r="H659" s="19">
        <f>(L246+L327+L359)</f>
        <v>0</v>
      </c>
      <c r="I659" s="19">
        <f>SUM(F659:H659)</f>
        <v>18026904.02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227551.16400219069</v>
      </c>
      <c r="G660" s="19">
        <f>(L358/IF(SUM(L357:L359)=0,1,SUM(L357:L359))*(SUM(G96:G109)))</f>
        <v>114115.47599780926</v>
      </c>
      <c r="H660" s="19">
        <f>(L359/IF(SUM(L357:L359)=0,1,SUM(L357:L359))*(SUM(G96:G109)))</f>
        <v>0</v>
      </c>
      <c r="I660" s="19">
        <f>SUM(F660:H660)</f>
        <v>341666.63999999996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509899.06999999995</v>
      </c>
      <c r="G661" s="19">
        <f>(L225+L305)-(J225+J305)</f>
        <v>241106.81999999998</v>
      </c>
      <c r="H661" s="19">
        <f>(L243+L324)-(J243+J324)</f>
        <v>0</v>
      </c>
      <c r="I661" s="19">
        <f>SUM(F661:H661)</f>
        <v>751005.8899999999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412523.16000000003</v>
      </c>
      <c r="G662" s="200">
        <f>SUM(G574:G586)+SUM(I601:I603)+L611</f>
        <v>249668.61</v>
      </c>
      <c r="H662" s="200">
        <f>SUM(H574:H586)+SUM(J601:J603)+L612</f>
        <v>0</v>
      </c>
      <c r="I662" s="19">
        <f>SUM(F662:H662)</f>
        <v>662191.77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10474182.251917809</v>
      </c>
      <c r="G663" s="19">
        <f>G659-SUM(G660:G662)</f>
        <v>5797857.4680821905</v>
      </c>
      <c r="H663" s="19">
        <f>H659-SUM(H660:H662)</f>
        <v>0</v>
      </c>
      <c r="I663" s="19">
        <f>I659-SUM(I660:I662)</f>
        <v>16272039.719999999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f>399.22+429.19</f>
        <v>828.41000000000008</v>
      </c>
      <c r="G664" s="249">
        <v>409.59</v>
      </c>
      <c r="H664" s="249"/>
      <c r="I664" s="19">
        <f>SUM(F664:H664)</f>
        <v>1238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12643.72</v>
      </c>
      <c r="G666" s="19">
        <f>ROUND(G663/G664,2)</f>
        <v>14155.27</v>
      </c>
      <c r="H666" s="19" t="e">
        <f>ROUND(H663/H664,2)</f>
        <v>#DIV/0!</v>
      </c>
      <c r="I666" s="19">
        <f>ROUND(I663/I664,2)</f>
        <v>13143.81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12643.72</v>
      </c>
      <c r="G671" s="19">
        <f>ROUND((G663+G668)/(G664+G669),2)</f>
        <v>14155.27</v>
      </c>
      <c r="H671" s="19" t="e">
        <f>ROUND((H663+H668)/(H664+H669),2)</f>
        <v>#DIV/0!</v>
      </c>
      <c r="I671" s="19">
        <f>ROUND((I663+I668)/(I664+I669),2)</f>
        <v>13143.81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785</v>
      </c>
      <c r="B1" s="233" t="str">
        <f>'DOE25'!A2</f>
        <v>Hampton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5959911.4699999997</v>
      </c>
      <c r="C9" s="230">
        <f>'DOE25'!G196+'DOE25'!G214+'DOE25'!G232+'DOE25'!G275+'DOE25'!G294+'DOE25'!G313</f>
        <v>2385769.91</v>
      </c>
    </row>
    <row r="10" spans="1:3" x14ac:dyDescent="0.2">
      <c r="A10" t="s">
        <v>779</v>
      </c>
      <c r="B10" s="241">
        <f>1798108.77+1517319.29+2052475.47+244368.55+11393.92</f>
        <v>5623666</v>
      </c>
      <c r="C10" s="241">
        <f>1473088.96+877010.53-10812.9-17767.97+34011.12+1659.3</f>
        <v>2357189.04</v>
      </c>
    </row>
    <row r="11" spans="1:3" x14ac:dyDescent="0.2">
      <c r="A11" t="s">
        <v>780</v>
      </c>
      <c r="B11" s="241">
        <f>126963.58+247</f>
        <v>127210.58</v>
      </c>
      <c r="C11" s="241">
        <v>10812.9</v>
      </c>
    </row>
    <row r="12" spans="1:3" x14ac:dyDescent="0.2">
      <c r="A12" t="s">
        <v>781</v>
      </c>
      <c r="B12" s="241">
        <f>208954.89+80</f>
        <v>209034.89</v>
      </c>
      <c r="C12" s="241">
        <v>17767.97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5959911.4699999997</v>
      </c>
      <c r="C13" s="232">
        <f>SUM(C10:C12)</f>
        <v>2385769.91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1496557.6900000002</v>
      </c>
      <c r="C18" s="230">
        <f>'DOE25'!G197+'DOE25'!G215+'DOE25'!G233+'DOE25'!G276+'DOE25'!G295+'DOE25'!G314</f>
        <v>572232.77999999991</v>
      </c>
    </row>
    <row r="19" spans="1:3" x14ac:dyDescent="0.2">
      <c r="A19" t="s">
        <v>779</v>
      </c>
      <c r="B19" s="241">
        <f>864337.57+14796.26</f>
        <v>879133.83</v>
      </c>
      <c r="C19" s="241">
        <f>359802.95+200342.65</f>
        <v>560145.6</v>
      </c>
    </row>
    <row r="20" spans="1:3" x14ac:dyDescent="0.2">
      <c r="A20" t="s">
        <v>780</v>
      </c>
      <c r="B20" s="241">
        <f>320332.36+52194.74+84780.52+71.4+7181.64+4704.7</f>
        <v>469265.36000000004</v>
      </c>
      <c r="C20" s="241">
        <f>4815.57+7271.61</f>
        <v>12087.18</v>
      </c>
    </row>
    <row r="21" spans="1:3" x14ac:dyDescent="0.2">
      <c r="A21" t="s">
        <v>781</v>
      </c>
      <c r="B21" s="241">
        <f>81058+66663+437.5</f>
        <v>148158.5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1496557.69</v>
      </c>
      <c r="C22" s="232">
        <f>SUM(C19:C21)</f>
        <v>572232.78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64099.51</v>
      </c>
      <c r="C36" s="236">
        <f>'DOE25'!G199+'DOE25'!G217+'DOE25'!G235+'DOE25'!G278+'DOE25'!G297+'DOE25'!G316</f>
        <v>12146.849999999999</v>
      </c>
    </row>
    <row r="37" spans="1:3" x14ac:dyDescent="0.2">
      <c r="A37" t="s">
        <v>779</v>
      </c>
      <c r="B37" s="241">
        <f>6668+4192+46488.5</f>
        <v>57348.5</v>
      </c>
      <c r="C37" s="241">
        <f>12146.85-573.84</f>
        <v>11573.01</v>
      </c>
    </row>
    <row r="38" spans="1:3" x14ac:dyDescent="0.2">
      <c r="A38" t="s">
        <v>780</v>
      </c>
      <c r="B38" s="241">
        <f>5850+12676.01-1500-10275</f>
        <v>6751.010000000002</v>
      </c>
      <c r="C38" s="241">
        <v>573.84</v>
      </c>
    </row>
    <row r="39" spans="1:3" x14ac:dyDescent="0.2">
      <c r="A39" t="s">
        <v>781</v>
      </c>
      <c r="B39" s="241">
        <v>0</v>
      </c>
      <c r="C39" s="241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64099.51</v>
      </c>
      <c r="C40" s="232">
        <f>SUM(C37:C39)</f>
        <v>12146.85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Hampton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10650496.640000001</v>
      </c>
      <c r="D5" s="20">
        <f>SUM('DOE25'!L196:L199)+SUM('DOE25'!L214:L217)+SUM('DOE25'!L232:L235)-F5-G5</f>
        <v>10641937.960000001</v>
      </c>
      <c r="E5" s="244"/>
      <c r="F5" s="256">
        <f>SUM('DOE25'!J196:J199)+SUM('DOE25'!J214:J217)+SUM('DOE25'!J232:J235)</f>
        <v>8073.68</v>
      </c>
      <c r="G5" s="53">
        <f>SUM('DOE25'!K196:K199)+SUM('DOE25'!K214:K217)+SUM('DOE25'!K232:K235)</f>
        <v>485</v>
      </c>
      <c r="H5" s="260"/>
    </row>
    <row r="6" spans="1:9" x14ac:dyDescent="0.2">
      <c r="A6" s="32">
        <v>2100</v>
      </c>
      <c r="B6" t="s">
        <v>801</v>
      </c>
      <c r="C6" s="246">
        <f t="shared" si="0"/>
        <v>1314125.06</v>
      </c>
      <c r="D6" s="20">
        <f>'DOE25'!L201+'DOE25'!L219+'DOE25'!L237-F6-G6</f>
        <v>1313496.4100000001</v>
      </c>
      <c r="E6" s="244"/>
      <c r="F6" s="256">
        <f>'DOE25'!J201+'DOE25'!J219+'DOE25'!J237</f>
        <v>628.65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1117676.5699999998</v>
      </c>
      <c r="D7" s="20">
        <f>'DOE25'!L202+'DOE25'!L220+'DOE25'!L238-F7-G7</f>
        <v>784680.7799999998</v>
      </c>
      <c r="E7" s="244"/>
      <c r="F7" s="256">
        <f>'DOE25'!J202+'DOE25'!J220+'DOE25'!J238</f>
        <v>332995.79000000004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331656.34000000008</v>
      </c>
      <c r="D8" s="244"/>
      <c r="E8" s="20">
        <f>'DOE25'!L203+'DOE25'!L221+'DOE25'!L239-F8-G8-D9-D11</f>
        <v>298784.58000000007</v>
      </c>
      <c r="F8" s="256">
        <f>'DOE25'!J203+'DOE25'!J221+'DOE25'!J239</f>
        <v>4638.7299999999996</v>
      </c>
      <c r="G8" s="53">
        <f>'DOE25'!K203+'DOE25'!K221+'DOE25'!K239</f>
        <v>28233.03</v>
      </c>
      <c r="H8" s="260"/>
    </row>
    <row r="9" spans="1:9" x14ac:dyDescent="0.2">
      <c r="A9" s="32">
        <v>2310</v>
      </c>
      <c r="B9" t="s">
        <v>818</v>
      </c>
      <c r="C9" s="246">
        <f t="shared" si="0"/>
        <v>64763.88</v>
      </c>
      <c r="D9" s="245">
        <f>23545+13659.1+7000+15000+3594.78+1965</f>
        <v>64763.88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22000</v>
      </c>
      <c r="D10" s="244"/>
      <c r="E10" s="245">
        <v>22000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179701.84</v>
      </c>
      <c r="D11" s="245">
        <v>179701.84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913087.14999999991</v>
      </c>
      <c r="D12" s="20">
        <f>'DOE25'!L204+'DOE25'!L222+'DOE25'!L240-F12-G12</f>
        <v>908745.14999999991</v>
      </c>
      <c r="E12" s="244"/>
      <c r="F12" s="256">
        <f>'DOE25'!J204+'DOE25'!J222+'DOE25'!J240</f>
        <v>0</v>
      </c>
      <c r="G12" s="53">
        <f>'DOE25'!K204+'DOE25'!K222+'DOE25'!K240</f>
        <v>4342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1493813.3599999999</v>
      </c>
      <c r="D14" s="20">
        <f>'DOE25'!L206+'DOE25'!L224+'DOE25'!L242-F14-G14</f>
        <v>1452319.4999999998</v>
      </c>
      <c r="E14" s="244"/>
      <c r="F14" s="256">
        <f>'DOE25'!J206+'DOE25'!J224+'DOE25'!J242</f>
        <v>41177</v>
      </c>
      <c r="G14" s="53">
        <f>'DOE25'!K206+'DOE25'!K224+'DOE25'!K242</f>
        <v>316.86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751005.8899999999</v>
      </c>
      <c r="D15" s="20">
        <f>'DOE25'!L207+'DOE25'!L225+'DOE25'!L243-F15-G15</f>
        <v>751005.8899999999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721.36</v>
      </c>
      <c r="D19" s="20">
        <f>'DOE25'!L252-F19-G19</f>
        <v>721.36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205982.13</v>
      </c>
      <c r="D22" s="244"/>
      <c r="E22" s="244"/>
      <c r="F22" s="256">
        <f>'DOE25'!L254+'DOE25'!L335</f>
        <v>205982.13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468362.5</v>
      </c>
      <c r="D25" s="244"/>
      <c r="E25" s="244"/>
      <c r="F25" s="259"/>
      <c r="G25" s="257"/>
      <c r="H25" s="258">
        <f>'DOE25'!L259+'DOE25'!L260+'DOE25'!L340+'DOE25'!L341</f>
        <v>468362.5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301357.51000000007</v>
      </c>
      <c r="D29" s="20">
        <f>'DOE25'!L357+'DOE25'!L358+'DOE25'!L359-'DOE25'!I366-F29-G29</f>
        <v>296590.69000000006</v>
      </c>
      <c r="E29" s="244"/>
      <c r="F29" s="256">
        <f>'DOE25'!J357+'DOE25'!J358+'DOE25'!J359</f>
        <v>5.57</v>
      </c>
      <c r="G29" s="53">
        <f>'DOE25'!K357+'DOE25'!K358+'DOE25'!K359</f>
        <v>4761.25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673329.92999999993</v>
      </c>
      <c r="D31" s="20">
        <f>'DOE25'!L289+'DOE25'!L308+'DOE25'!L327+'DOE25'!L332+'DOE25'!L333+'DOE25'!L334-F31-G31</f>
        <v>658760.08999999985</v>
      </c>
      <c r="E31" s="244"/>
      <c r="F31" s="256">
        <f>'DOE25'!J289+'DOE25'!J308+'DOE25'!J327+'DOE25'!J332+'DOE25'!J333+'DOE25'!J334</f>
        <v>9616.0400000000009</v>
      </c>
      <c r="G31" s="53">
        <f>'DOE25'!K289+'DOE25'!K308+'DOE25'!K327+'DOE25'!K332+'DOE25'!K333+'DOE25'!K334</f>
        <v>4953.8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17052723.550000001</v>
      </c>
      <c r="E33" s="247">
        <f>SUM(E5:E31)</f>
        <v>320784.58000000007</v>
      </c>
      <c r="F33" s="247">
        <f>SUM(F5:F31)</f>
        <v>603117.59</v>
      </c>
      <c r="G33" s="247">
        <f>SUM(G5:G31)</f>
        <v>43091.94</v>
      </c>
      <c r="H33" s="247">
        <f>SUM(H5:H31)</f>
        <v>468362.5</v>
      </c>
    </row>
    <row r="35" spans="2:8" ht="12" thickBot="1" x14ac:dyDescent="0.25">
      <c r="B35" s="254" t="s">
        <v>847</v>
      </c>
      <c r="D35" s="255">
        <f>E33</f>
        <v>320784.58000000007</v>
      </c>
      <c r="E35" s="250"/>
    </row>
    <row r="36" spans="2:8" ht="12" thickTop="1" x14ac:dyDescent="0.2">
      <c r="B36" t="s">
        <v>815</v>
      </c>
      <c r="D36" s="20">
        <f>D33</f>
        <v>17052723.550000001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zoomScalePageLayoutView="80" workbookViewId="0">
      <pane ySplit="2" topLeftCell="A3" activePane="bottomLeft" state="frozen"/>
      <selection pane="bottomLeft" activeCell="A48" sqref="A48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842987.4</v>
      </c>
      <c r="D8" s="95">
        <f>'DOE25'!G9</f>
        <v>300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133448.97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171311.23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171311.23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555.77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1014298.63</v>
      </c>
      <c r="D18" s="41">
        <f>SUM(D8:D17)</f>
        <v>855.77</v>
      </c>
      <c r="E18" s="41">
        <f>SUM(E8:E17)</f>
        <v>171311.23</v>
      </c>
      <c r="F18" s="41">
        <f>SUM(F8:F17)</f>
        <v>0</v>
      </c>
      <c r="G18" s="41">
        <f>SUM(G8:G17)</f>
        <v>133448.97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578.53</v>
      </c>
      <c r="D21" s="95">
        <f>'DOE25'!G22</f>
        <v>340.67</v>
      </c>
      <c r="E21" s="95">
        <f>'DOE25'!H22</f>
        <v>171311.23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122793.54000000001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106817.02</v>
      </c>
      <c r="D29" s="95">
        <f>'DOE25'!G30</f>
        <v>63.2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230189.09000000003</v>
      </c>
      <c r="D31" s="41">
        <f>SUM(D21:D30)</f>
        <v>403.87</v>
      </c>
      <c r="E31" s="41">
        <f>SUM(E21:E30)</f>
        <v>171311.23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41941.769999999997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451.9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133448.97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259039.77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408128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784109.54</v>
      </c>
      <c r="D49" s="41">
        <f>SUM(D34:D48)</f>
        <v>451.9</v>
      </c>
      <c r="E49" s="41">
        <f>SUM(E34:E48)</f>
        <v>0</v>
      </c>
      <c r="F49" s="41">
        <f>SUM(F34:F48)</f>
        <v>0</v>
      </c>
      <c r="G49" s="41">
        <f>SUM(G34:G48)</f>
        <v>133448.97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1014298.6300000001</v>
      </c>
      <c r="D50" s="41">
        <f>D49+D31</f>
        <v>855.77</v>
      </c>
      <c r="E50" s="41">
        <f>E49+E31</f>
        <v>171311.23</v>
      </c>
      <c r="F50" s="41">
        <f>F49+F31</f>
        <v>0</v>
      </c>
      <c r="G50" s="41">
        <f>G49+G31</f>
        <v>133448.97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13001805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6202.67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341666.64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9234.64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9234.64</v>
      </c>
      <c r="D61" s="130">
        <f>SUM(D56:D60)</f>
        <v>341666.64</v>
      </c>
      <c r="E61" s="130">
        <f>SUM(E56:E60)</f>
        <v>0</v>
      </c>
      <c r="F61" s="130">
        <f>SUM(F56:F60)</f>
        <v>0</v>
      </c>
      <c r="G61" s="130">
        <f>SUM(G56:G60)</f>
        <v>6202.67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13011039.640000001</v>
      </c>
      <c r="D62" s="22">
        <f>D55+D61</f>
        <v>341666.64</v>
      </c>
      <c r="E62" s="22">
        <f>E55+E61</f>
        <v>0</v>
      </c>
      <c r="F62" s="22">
        <f>F55+F61</f>
        <v>0</v>
      </c>
      <c r="G62" s="22">
        <f>G55+G61</f>
        <v>6202.67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83123.98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4247389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72.02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4330585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103737.7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96854.080000000002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7420.89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200591.78</v>
      </c>
      <c r="D77" s="130">
        <f>SUM(D71:D76)</f>
        <v>7420.89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4531176.78</v>
      </c>
      <c r="D80" s="130">
        <f>SUM(D78:D79)+D77+D69</f>
        <v>7420.89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58861.3</v>
      </c>
      <c r="D87" s="95">
        <f>SUM('DOE25'!G152:G160)</f>
        <v>169090.44999999998</v>
      </c>
      <c r="E87" s="95">
        <f>SUM('DOE25'!H152:H160)</f>
        <v>673329.92999999993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58861.3</v>
      </c>
      <c r="D90" s="131">
        <f>SUM(D84:D89)</f>
        <v>169090.44999999998</v>
      </c>
      <c r="E90" s="131">
        <f>SUM(E84:E89)</f>
        <v>673329.92999999993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19000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19000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17601077.720000003</v>
      </c>
      <c r="D103" s="86">
        <f>D62+D80+D90+D102</f>
        <v>537177.98</v>
      </c>
      <c r="E103" s="86">
        <f>E62+E80+E90+E102</f>
        <v>673329.92999999993</v>
      </c>
      <c r="F103" s="86">
        <f>F62+F80+F90+F102</f>
        <v>0</v>
      </c>
      <c r="G103" s="86">
        <f>G62+G80+G102</f>
        <v>81202.67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8271993.1099999994</v>
      </c>
      <c r="D108" s="24" t="s">
        <v>289</v>
      </c>
      <c r="E108" s="95">
        <f>('DOE25'!L275)+('DOE25'!L294)+('DOE25'!L313)</f>
        <v>369797.61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2257372.35</v>
      </c>
      <c r="D109" s="24" t="s">
        <v>289</v>
      </c>
      <c r="E109" s="95">
        <f>('DOE25'!L276)+('DOE25'!L295)+('DOE25'!L314)</f>
        <v>299365.83999999997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121131.18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44041.280000000006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721.36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10695259.279999997</v>
      </c>
      <c r="D114" s="86">
        <f>SUM(D108:D113)</f>
        <v>0</v>
      </c>
      <c r="E114" s="86">
        <f>SUM(E108:E113)</f>
        <v>669163.44999999995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1314125.06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1117676.5699999998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576122.06000000006</v>
      </c>
      <c r="D119" s="24" t="s">
        <v>289</v>
      </c>
      <c r="E119" s="95">
        <f>+('DOE25'!L282)+('DOE25'!L301)+('DOE25'!L320)</f>
        <v>4166.4800000000005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913087.14999999991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1493813.3599999999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751005.8899999999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537247.3600000001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6165830.0899999989</v>
      </c>
      <c r="D127" s="86">
        <f>SUM(D117:D126)</f>
        <v>537247.3600000001</v>
      </c>
      <c r="E127" s="86">
        <f>SUM(E117:E126)</f>
        <v>4166.4800000000005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205982.13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133362.5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19000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81202.67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-6202.6699999999983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768344.63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17629433.999999996</v>
      </c>
      <c r="D144" s="86">
        <f>(D114+D127+D143)</f>
        <v>537247.3600000001</v>
      </c>
      <c r="E144" s="86">
        <f>(E114+E127+E143)</f>
        <v>673329.92999999993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07/96</v>
      </c>
      <c r="C151" s="152" t="str">
        <f>'DOE25'!G490</f>
        <v>07/98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 t="str">
        <f>'DOE25'!G491</f>
        <v>08/18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3970000</v>
      </c>
      <c r="C153" s="137">
        <f>'DOE25'!G492</f>
        <v>1770000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5.71</v>
      </c>
      <c r="C154" s="137">
        <f>'DOE25'!G493</f>
        <v>4.91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1685000</v>
      </c>
      <c r="C155" s="137">
        <f>'DOE25'!G494</f>
        <v>915000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2600000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240000</v>
      </c>
      <c r="C157" s="137">
        <f>'DOE25'!G496</f>
        <v>95000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335000</v>
      </c>
    </row>
    <row r="158" spans="1:9" x14ac:dyDescent="0.2">
      <c r="A158" s="22" t="s">
        <v>35</v>
      </c>
      <c r="B158" s="137">
        <f>'DOE25'!F497</f>
        <v>1445000</v>
      </c>
      <c r="C158" s="137">
        <f>'DOE25'!G497</f>
        <v>820000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2265000</v>
      </c>
    </row>
    <row r="159" spans="1:9" x14ac:dyDescent="0.2">
      <c r="A159" s="22" t="s">
        <v>36</v>
      </c>
      <c r="B159" s="137">
        <f>'DOE25'!F498</f>
        <v>217781.25</v>
      </c>
      <c r="C159" s="137">
        <f>'DOE25'!G498</f>
        <v>152000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369781.25</v>
      </c>
    </row>
    <row r="160" spans="1:9" x14ac:dyDescent="0.2">
      <c r="A160" s="22" t="s">
        <v>37</v>
      </c>
      <c r="B160" s="137">
        <f>'DOE25'!F499</f>
        <v>1662781.25</v>
      </c>
      <c r="C160" s="137">
        <f>'DOE25'!G499</f>
        <v>972000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2634781.25</v>
      </c>
    </row>
    <row r="161" spans="1:7" x14ac:dyDescent="0.2">
      <c r="A161" s="22" t="s">
        <v>38</v>
      </c>
      <c r="B161" s="137">
        <f>'DOE25'!F500</f>
        <v>255000</v>
      </c>
      <c r="C161" s="137">
        <f>'DOE25'!G500</f>
        <v>100000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355000</v>
      </c>
    </row>
    <row r="162" spans="1:7" x14ac:dyDescent="0.2">
      <c r="A162" s="22" t="s">
        <v>39</v>
      </c>
      <c r="B162" s="137">
        <f>'DOE25'!F501</f>
        <v>75756.25</v>
      </c>
      <c r="C162" s="137">
        <f>'DOE25'!G501</f>
        <v>38500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114256.25</v>
      </c>
    </row>
    <row r="163" spans="1:7" x14ac:dyDescent="0.2">
      <c r="A163" s="22" t="s">
        <v>246</v>
      </c>
      <c r="B163" s="137">
        <f>'DOE25'!F502</f>
        <v>330756.25</v>
      </c>
      <c r="C163" s="137">
        <f>'DOE25'!G502</f>
        <v>138500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469256.25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Hampton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12644</v>
      </c>
    </row>
    <row r="5" spans="1:4" x14ac:dyDescent="0.2">
      <c r="B5" t="s">
        <v>704</v>
      </c>
      <c r="C5" s="179">
        <f>IF('DOE25'!G664+'DOE25'!G669=0,0,ROUND('DOE25'!G671,0))</f>
        <v>14155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13144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8641791</v>
      </c>
      <c r="D10" s="182">
        <f>ROUND((C10/$C$28)*100,1)</f>
        <v>48.4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2556738</v>
      </c>
      <c r="D11" s="182">
        <f>ROUND((C11/$C$28)*100,1)</f>
        <v>14.3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121131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1314125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1117677</v>
      </c>
      <c r="D16" s="182">
        <f t="shared" si="0"/>
        <v>6.3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580289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913087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1493813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751006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44041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721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133363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195580.36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17863362.359999999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205982</v>
      </c>
    </row>
    <row r="30" spans="1:4" x14ac:dyDescent="0.2">
      <c r="B30" s="187" t="s">
        <v>729</v>
      </c>
      <c r="C30" s="180">
        <f>SUM(C28:C29)</f>
        <v>18069344.359999999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335000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13001805</v>
      </c>
      <c r="D35" s="182">
        <f t="shared" ref="D35:D40" si="1">ROUND((C35/$C$41)*100,1)</f>
        <v>70.400000000000006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15437.310000000522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4330585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208013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901282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18457122.310000002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Hampton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2012-11-08T17:52:52Z</cp:lastPrinted>
  <dcterms:created xsi:type="dcterms:W3CDTF">1997-12-04T19:04:30Z</dcterms:created>
  <dcterms:modified xsi:type="dcterms:W3CDTF">2012-11-28T14:43:09Z</dcterms:modified>
</cp:coreProperties>
</file>