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22140" windowHeight="11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03" i="1" l="1"/>
  <c r="K530" i="1"/>
  <c r="G520" i="1"/>
  <c r="F520" i="1"/>
  <c r="J520" i="1"/>
  <c r="I520" i="1"/>
  <c r="H520" i="1"/>
  <c r="G530" i="1"/>
  <c r="C20" i="12"/>
  <c r="C19" i="12"/>
  <c r="C21" i="12"/>
  <c r="C12" i="12"/>
  <c r="C11" i="12"/>
  <c r="C10" i="12"/>
  <c r="G202" i="1"/>
  <c r="B20" i="12" l="1"/>
  <c r="B10" i="12"/>
  <c r="B11" i="12"/>
  <c r="B12" i="12"/>
  <c r="K282" i="1"/>
  <c r="B21" i="12"/>
  <c r="B19" i="12"/>
  <c r="H602" i="1"/>
  <c r="F530" i="1"/>
  <c r="F501" i="1"/>
  <c r="F496" i="1"/>
  <c r="H254" i="1"/>
  <c r="I202" i="1"/>
  <c r="H197" i="1"/>
  <c r="H203" i="1"/>
  <c r="H206" i="1"/>
  <c r="H202" i="1"/>
  <c r="F202" i="1"/>
  <c r="F201" i="1"/>
  <c r="F29" i="1"/>
  <c r="F28" i="1"/>
  <c r="F12" i="1"/>
  <c r="F9" i="1"/>
  <c r="I357" i="1"/>
  <c r="J95" i="1"/>
  <c r="H398" i="1"/>
  <c r="J467" i="1"/>
  <c r="F366" i="1"/>
  <c r="H357" i="1"/>
  <c r="F357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 s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16" i="10" l="1"/>
  <c r="F544" i="1"/>
  <c r="G33" i="13"/>
  <c r="J648" i="1"/>
  <c r="A22" i="12"/>
  <c r="F139" i="1"/>
  <c r="E90" i="2"/>
  <c r="J641" i="1"/>
  <c r="D50" i="2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C39" i="10" s="1"/>
  <c r="J270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C28" i="10" s="1"/>
  <c r="D23" i="10" s="1"/>
  <c r="F168" i="1"/>
  <c r="J139" i="1"/>
  <c r="J637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L564" i="1"/>
  <c r="L570" i="1" s="1"/>
  <c r="G544" i="1"/>
  <c r="L544" i="1"/>
  <c r="H544" i="1"/>
  <c r="K550" i="1"/>
  <c r="K551" i="1" s="1"/>
  <c r="F143" i="2"/>
  <c r="F144" i="2" s="1"/>
  <c r="D11" i="10" l="1"/>
  <c r="D24" i="10"/>
  <c r="D15" i="10"/>
  <c r="D27" i="10"/>
  <c r="D22" i="10"/>
  <c r="D17" i="10"/>
  <c r="H192" i="1"/>
  <c r="G628" i="1" s="1"/>
  <c r="J628" i="1" s="1"/>
  <c r="J647" i="1"/>
  <c r="C30" i="10"/>
  <c r="D25" i="10"/>
  <c r="F192" i="1"/>
  <c r="G626" i="1" s="1"/>
  <c r="J626" i="1" s="1"/>
  <c r="D26" i="10"/>
  <c r="D19" i="10"/>
  <c r="D18" i="10"/>
  <c r="D16" i="10"/>
  <c r="D13" i="10"/>
  <c r="D12" i="10"/>
  <c r="D20" i="10"/>
  <c r="D21" i="10"/>
  <c r="D10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D28" i="10" l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<sst xmlns="http://schemas.openxmlformats.org/spreadsheetml/2006/main" count="3949" uniqueCount="916">
  <si>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</si>
  <si>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</si>
  <si>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</si>
  <si>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</si>
  <si>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</si>
  <si>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</si>
  <si>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</si>
  <si>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</si>
  <si>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</si>
  <si>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</si>
  <si>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</si>
  <si>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</si>
  <si>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</si>
  <si>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</si>
  <si>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</si>
  <si>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</si>
  <si>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</si>
  <si>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</si>
  <si>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</si>
  <si>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</si>
  <si>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</si>
  <si>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</si>
  <si>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</si>
  <si>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</si>
  <si>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</si>
  <si>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</si>
  <si>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</si>
  <si>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</si>
  <si>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</si>
  <si>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</si>
  <si>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</si>
  <si>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</si>
  <si>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</si>
  <si>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</si>
  <si>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</si>
  <si>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</si>
  <si>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</si>
  <si>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</si>
  <si>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</si>
  <si>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</si>
  <si>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</si>
  <si>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</si>
  <si>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</si>
  <si>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</si>
  <si>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</si>
  <si>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</si>
  <si>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</si>
  <si>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</si>
  <si>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</si>
  <si>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</si>
  <si>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</si>
  <si>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</si>
  <si>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</si>
  <si>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</si>
  <si>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</si>
  <si>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</si>
  <si>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</si>
  <si>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</si>
  <si>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</si>
  <si>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</si>
  <si>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</si>
  <si>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</si>
  <si>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</si>
  <si>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</si>
  <si>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</si>
  <si>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</si>
  <si>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</si>
  <si>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</si>
  <si>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</si>
  <si>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</si>
  <si>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</si>
  <si>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</si>
  <si>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</si>
  <si>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</si>
  <si>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</si>
  <si>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</si>
  <si>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</si>
  <si>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</si>
  <si>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</si>
  <si>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</si>
  <si>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</si>
  <si>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</si>
  <si>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</si>
  <si>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</si>
  <si>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</si>
  <si>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</si>
  <si>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</si>
  <si>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</si>
  <si>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</si>
  <si>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</si>
  <si>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</si>
  <si>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</si>
  <si>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</si>
  <si>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</si>
  <si>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</si>
  <si>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</si>
  <si>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</si>
  <si>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</si>
  <si>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</si>
  <si>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</si>
  <si>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</si>
  <si>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</si>
  <si>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</si>
  <si>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</si>
  <si>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</si>
  <si>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</si>
  <si>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</si>
  <si>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</si>
  <si>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</si>
  <si>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</si>
  <si>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</si>
  <si>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</si>
  <si>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</si>
  <si>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</si>
  <si>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</si>
  <si>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</si>
  <si>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</si>
  <si>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</si>
  <si>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</si>
  <si>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</si>
  <si>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</si>
  <si>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</si>
  <si>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</si>
  <si>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</si>
  <si>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</si>
  <si>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</si>
  <si>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</si>
  <si>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</si>
  <si>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</si>
  <si>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</si>
  <si>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</si>
  <si>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</si>
  <si>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</si>
  <si>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</si>
  <si>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</si>
  <si>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</si>
  <si>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</si>
  <si>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</si>
  <si>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</si>
  <si>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</si>
  <si>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</si>
  <si>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</si>
  <si>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</si>
  <si>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</si>
  <si>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</si>
  <si>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</si>
  <si>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</si>
  <si>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</si>
  <si>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</si>
  <si>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</si>
  <si>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</si>
  <si>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</si>
  <si>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</si>
  <si>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</si>
  <si>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</si>
  <si>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</si>
  <si>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</si>
  <si>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</si>
  <si>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</si>
  <si>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</si>
  <si>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</si>
  <si>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</si>
  <si>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</si>
  <si>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</si>
  <si>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</si>
  <si>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</si>
  <si>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</si>
  <si>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</si>
  <si>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</si>
  <si>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</si>
  <si>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</si>
  <si>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</si>
  <si>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</si>
  <si>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</si>
  <si>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</si>
  <si>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</si>
  <si>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</si>
  <si>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</si>
  <si>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</si>
  <si>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</si>
  <si>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</si>
  <si>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</si>
  <si>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</si>
  <si>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</si>
  <si>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</si>
  <si>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</si>
  <si>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</si>
  <si>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</si>
  <si>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</si>
  <si>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</si>
  <si>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</si>
  <si>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</si>
  <si>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</si>
  <si>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</si>
  <si>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</si>
  <si>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</si>
  <si>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</si>
  <si>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</si>
  <si>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</si>
  <si>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</si>
  <si>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</si>
  <si>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</si>
  <si>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</si>
  <si>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</si>
  <si>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</si>
  <si>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</si>
  <si>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</si>
  <si>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</si>
  <si>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</si>
  <si>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</si>
  <si>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</si>
  <si>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</si>
  <si>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</si>
  <si>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</si>
  <si>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</si>
  <si>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</si>
  <si>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</si>
  <si>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</si>
  <si>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</si>
  <si>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</si>
  <si>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</si>
  <si>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</si>
  <si>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</si>
  <si>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</si>
  <si>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</si>
  <si>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</si>
  <si>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</si>
  <si>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</si>
  <si>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</si>
  <si>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</si>
  <si>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</si>
  <si>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</si>
  <si>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</si>
  <si>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</si>
  <si>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</si>
  <si>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</si>
  <si>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</si>
  <si>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</si>
  <si>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</si>
  <si>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</si>
  <si>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</si>
  <si>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</si>
  <si>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</si>
  <si>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</si>
  <si>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</si>
  <si>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</si>
  <si>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</si>
  <si>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</si>
  <si>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</si>
  <si>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</si>
  <si>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</si>
  <si>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</si>
  <si>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</si>
  <si>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</si>
  <si>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</si>
  <si>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</si>
  <si>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</si>
  <si>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</si>
  <si>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</si>
  <si>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</si>
  <si>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</si>
  <si>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</si>
  <si>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</si>
  <si>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</si>
  <si>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</si>
  <si>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</si>
  <si>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</si>
  <si>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</si>
  <si>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</si>
  <si>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</si>
  <si>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</si>
  <si>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</si>
  <si>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</si>
  <si>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</si>
  <si>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</si>
  <si>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</si>
  <si>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</si>
  <si>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</si>
  <si>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</si>
  <si>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</si>
  <si>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</si>
  <si>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</si>
  <si>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</si>
  <si>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</si>
  <si>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</si>
  <si>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</si>
  <si>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</si>
  <si>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</si>
  <si>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</si>
  <si>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</si>
  <si>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</si>
  <si>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</si>
  <si>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</si>
  <si>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</si>
  <si>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</si>
  <si>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</si>
  <si>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</si>
  <si>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</si>
  <si>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</si>
  <si>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</si>
  <si>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</si>
  <si>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</si>
  <si>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</si>
  <si>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</si>
  <si>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</si>
  <si>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</si>
  <si>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</si>
  <si>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</si>
  <si>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</si>
  <si>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</si>
  <si>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</si>
  <si>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</si>
  <si>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</si>
  <si>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</si>
  <si>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</si>
  <si>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</si>
  <si>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</si>
  <si>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</si>
  <si>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</si>
  <si>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</si>
  <si>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</si>
  <si>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</si>
  <si>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</si>
  <si>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</si>
  <si>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</si>
  <si>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</si>
  <si>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</si>
  <si>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</si>
  <si>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</si>
  <si>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</si>
  <si>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</si>
  <si>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</si>
  <si>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</si>
  <si>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</si>
  <si>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</si>
  <si>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</si>
  <si>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</si>
  <si>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</si>
  <si>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</si>
  <si>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</si>
  <si>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</si>
  <si>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</si>
  <si>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</si>
  <si>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</si>
  <si>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</si>
  <si>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</si>
  <si>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</si>
  <si>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</si>
  <si>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</si>
  <si>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</si>
  <si>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</si>
  <si>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</si>
  <si>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</si>
  <si>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</si>
  <si>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</si>
  <si>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</si>
  <si>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</si>
  <si>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</si>
  <si>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</si>
  <si>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</si>
  <si>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</si>
  <si>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</si>
  <si>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</si>
  <si>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</si>
  <si>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</si>
  <si>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</si>
  <si>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</si>
  <si>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</si>
  <si>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</si>
  <si>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</si>
  <si>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</si>
  <si>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</si>
  <si>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</si>
  <si>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</si>
  <si>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</si>
  <si>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</si>
  <si>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</si>
  <si>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</si>
  <si>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</si>
  <si>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</si>
  <si>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</si>
  <si>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</si>
  <si>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</si>
  <si>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</si>
  <si>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</si>
  <si>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</si>
  <si>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</si>
  <si>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</si>
  <si>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</si>
  <si>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</si>
  <si>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</si>
  <si>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</si>
  <si>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</si>
  <si>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</si>
  <si>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</si>
  <si>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</si>
  <si>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</si>
  <si>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</si>
  <si>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</si>
  <si>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</si>
  <si>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</si>
  <si>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</si>
  <si>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</si>
  <si>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</si>
  <si>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</si>
  <si>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</si>
  <si>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</si>
  <si>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</si>
  <si>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</si>
  <si>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</si>
  <si>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</si>
  <si>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</si>
  <si>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</si>
  <si>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</si>
  <si>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</si>
  <si>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</si>
  <si>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</si>
  <si>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</si>
  <si>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</si>
  <si>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</si>
  <si>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</si>
  <si>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</si>
  <si>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</si>
  <si>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</si>
  <si>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</si>
  <si>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</si>
  <si>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</si>
  <si>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</si>
  <si>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</si>
  <si>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</si>
  <si>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</si>
  <si>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</si>
  <si>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</si>
  <si>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</si>
  <si>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</si>
  <si>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</si>
  <si>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</si>
  <si>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</si>
  <si>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</si>
  <si>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</si>
  <si>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</si>
  <si>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</si>
  <si>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</si>
  <si>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</si>
  <si>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</si>
  <si>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</si>
  <si>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</si>
  <si>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</si>
  <si>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</si>
  <si>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</si>
  <si>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</si>
  <si>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</si>
  <si>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</si>
  <si>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</si>
  <si>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</si>
  <si>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</si>
  <si>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</si>
  <si>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</si>
  <si>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</si>
  <si>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</si>
  <si>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</si>
  <si>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</si>
  <si>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</si>
  <si>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</si>
  <si>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</si>
  <si>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</si>
  <si>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</si>
  <si>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</si>
  <si>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</si>
  <si>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</si>
  <si>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</si>
  <si>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</si>
  <si>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</si>
  <si>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</si>
  <si>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</si>
  <si>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</si>
  <si>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</si>
  <si>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</si>
  <si>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</si>
  <si>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</si>
  <si>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</si>
  <si>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</si>
  <si>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</si>
  <si>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</si>
  <si>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</si>
  <si>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</si>
  <si>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</si>
  <si>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</si>
  <si>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</si>
  <si>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</si>
  <si>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</si>
  <si>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</si>
  <si>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</si>
  <si>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</si>
  <si>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</si>
  <si>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</si>
  <si>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</si>
  <si>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</si>
  <si>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</si>
  <si>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</si>
  <si>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</si>
  <si>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</si>
  <si>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</si>
  <si>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</si>
  <si>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</si>
  <si>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</si>
  <si>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</si>
  <si>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</si>
  <si>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</si>
  <si>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</si>
  <si>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</si>
  <si>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</si>
  <si>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</si>
  <si>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</si>
  <si>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</si>
  <si>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</si>
  <si>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</si>
  <si>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</si>
  <si>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</si>
  <si>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</si>
  <si>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</si>
  <si>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</si>
  <si>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</si>
  <si>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</si>
  <si>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</si>
  <si>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</si>
  <si>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</si>
  <si>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</si>
  <si>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</si>
  <si>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</si>
  <si>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</si>
  <si>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</si>
  <si>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</si>
  <si>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</si>
  <si>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</si>
  <si>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</si>
  <si>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</si>
  <si>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</si>
  <si>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</si>
  <si>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</si>
  <si>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</si>
  <si>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</si>
  <si>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</si>
  <si>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</si>
  <si>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</si>
  <si>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</si>
  <si>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</si>
  <si>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</si>
  <si>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</si>
  <si>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</si>
  <si>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</si>
  <si>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</si>
  <si>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</si>
  <si>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</si>
  <si>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</si>
  <si>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</si>
  <si>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</si>
  <si>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</si>
  <si>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</si>
  <si>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</si>
  <si>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</si>
  <si>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</si>
  <si>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</si>
  <si>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</si>
  <si>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</si>
  <si>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</si>
  <si>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</si>
  <si>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</si>
  <si>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</si>
  <si>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</si>
  <si>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</si>
  <si>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</si>
  <si>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</si>
  <si>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</si>
  <si>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</si>
  <si>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</si>
  <si>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</si>
  <si>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</si>
  <si>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</si>
  <si>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</si>
  <si>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</si>
  <si>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</si>
  <si>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</si>
  <si>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</si>
  <si>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</si>
  <si>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</si>
  <si>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</si>
  <si>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</si>
  <si>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</si>
  <si>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</si>
  <si>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</si>
  <si>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</si>
  <si>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</si>
  <si>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</si>
  <si>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</si>
  <si>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</si>
  <si>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</si>
  <si>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</si>
  <si>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</si>
  <si>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</si>
  <si>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</si>
  <si>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</si>
  <si>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</si>
  <si>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</si>
  <si>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</si>
  <si>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</si>
  <si>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</si>
  <si>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</si>
  <si>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</si>
  <si>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</si>
  <si>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</si>
  <si>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</si>
  <si>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</si>
  <si>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</si>
  <si>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</si>
  <si>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</si>
  <si>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</si>
  <si>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</si>
  <si>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</si>
  <si>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</si>
  <si>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</si>
  <si>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</si>
  <si>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</si>
  <si>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</si>
  <si>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</si>
  <si>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</si>
  <si>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</si>
  <si>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</si>
  <si>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</si>
  <si>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</si>
  <si>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</si>
  <si>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</si>
  <si>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</si>
  <si>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</si>
  <si>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</si>
  <si>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</si>
  <si>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</si>
  <si>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</si>
  <si>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</si>
  <si>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</si>
  <si>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</si>
  <si>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</si>
  <si>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</si>
  <si>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</si>
  <si>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</si>
  <si>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</si>
  <si>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</si>
  <si>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</si>
  <si>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</si>
  <si>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</si>
  <si>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</si>
  <si>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</si>
  <si>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</si>
  <si>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</si>
  <si>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</si>
  <si>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</si>
  <si>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</si>
  <si>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</si>
  <si>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</si>
  <si>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</si>
  <si>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</si>
  <si>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</si>
  <si>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</si>
  <si>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</si>
  <si>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</si>
  <si>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</si>
  <si>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</si>
  <si>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</si>
  <si>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</si>
  <si>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</si>
  <si>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</si>
  <si>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</si>
  <si>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</si>
  <si>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</si>
  <si>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</si>
  <si>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</si>
  <si>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</si>
  <si>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</si>
  <si>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</si>
  <si>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</si>
  <si>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</si>
  <si>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</si>
  <si>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</si>
  <si>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</si>
  <si>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</si>
  <si>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</si>
  <si>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</si>
  <si>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</si>
  <si>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</si>
  <si>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</si>
  <si>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</si>
  <si>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</si>
  <si>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</si>
  <si>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</si>
  <si>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</si>
  <si>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</si>
  <si>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</si>
  <si>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</si>
  <si>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</si>
  <si>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</si>
  <si>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</si>
  <si>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</si>
  <si>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</si>
  <si>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</si>
  <si>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</si>
  <si>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</si>
  <si>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</si>
  <si>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</si>
  <si>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</si>
  <si>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</si>
  <si>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</si>
  <si>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</si>
  <si>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</si>
  <si>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</si>
  <si>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</si>
  <si>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</si>
  <si>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</si>
  <si>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</si>
  <si>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</si>
  <si>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</si>
  <si>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</si>
  <si>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</si>
  <si>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</si>
  <si>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</si>
  <si>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</si>
  <si>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</si>
  <si>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</si>
  <si>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</si>
  <si>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</si>
  <si>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</si>
  <si>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</si>
  <si>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</si>
  <si>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</si>
  <si>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</si>
  <si>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</si>
  <si>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</si>
  <si>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</si>
  <si>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</si>
  <si>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</si>
  <si>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</si>
  <si>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</si>
  <si>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</si>
  <si>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</si>
  <si>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</si>
  <si>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</si>
  <si>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</si>
  <si>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</si>
  <si>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</si>
  <si>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</si>
  <si>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</si>
  <si>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</si>
  <si>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</si>
  <si>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</si>
  <si>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</si>
  <si>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</si>
  <si>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</si>
  <si>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</si>
  <si>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</si>
  <si>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</si>
  <si>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</si>
  <si>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</si>
  <si>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</si>
  <si>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</si>
  <si>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</si>
  <si>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</si>
  <si>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</si>
  <si>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</si>
  <si>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</si>
  <si>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</si>
  <si>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</si>
  <si>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</si>
  <si>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</si>
  <si>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</si>
  <si>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</si>
  <si>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</si>
  <si>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</si>
  <si>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</si>
  <si>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</si>
  <si>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</si>
  <si>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</si>
  <si>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</si>
  <si>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</si>
  <si>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</si>
  <si>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</si>
  <si>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</si>
  <si>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</si>
  <si>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</si>
  <si>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</si>
  <si>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</si>
  <si>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</si>
  <si>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</si>
  <si>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</si>
  <si>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</si>
  <si>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</si>
  <si>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</si>
  <si>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</si>
  <si>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</si>
  <si>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</si>
  <si>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</si>
  <si>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</si>
  <si>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</si>
  <si>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</si>
  <si>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</si>
  <si>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</si>
  <si>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</si>
  <si>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</si>
  <si>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</si>
  <si>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</si>
  <si>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</si>
  <si>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</si>
  <si>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</si>
  <si>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</si>
  <si>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</si>
  <si>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</si>
  <si>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</si>
  <si>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</si>
  <si>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</si>
  <si>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</si>
  <si>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</si>
  <si>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</si>
  <si>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</si>
  <si>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</si>
  <si>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</si>
  <si>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</si>
  <si>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</si>
  <si>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</si>
  <si>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</si>
  <si>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</si>
  <si>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</si>
  <si>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</si>
  <si>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</si>
  <si>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</si>
  <si>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</si>
  <si>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</si>
  <si>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</si>
  <si>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</si>
  <si>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</si>
  <si>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</si>
  <si>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</si>
  <si>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</si>
  <si>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</si>
  <si>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</si>
  <si>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</si>
  <si>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</si>
  <si>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</si>
  <si>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</si>
  <si>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</si>
  <si>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</si>
  <si>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</si>
  <si>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</si>
  <si>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</si>
  <si>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</si>
  <si>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</si>
  <si>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</si>
  <si>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</si>
  <si>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</si>
  <si>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</si>
  <si>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</si>
  <si>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</si>
  <si>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</si>
  <si>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</si>
  <si>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</si>
  <si>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</si>
  <si>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</si>
  <si>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</si>
  <si>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</si>
  <si>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</si>
  <si>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</si>
  <si>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</si>
  <si>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</si>
  <si>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</si>
  <si>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</si>
  <si>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</si>
  <si>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</si>
  <si>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</si>
  <si>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</si>
  <si>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</si>
  <si>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</si>
  <si>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</si>
  <si>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</si>
  <si>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</si>
  <si>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</si>
  <si>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</si>
  <si>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</si>
  <si>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</si>
  <si>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</si>
  <si>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</si>
  <si>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</si>
  <si>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</si>
  <si>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</si>
  <si>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</si>
  <si>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</si>
  <si>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</si>
  <si>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</si>
  <si>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</si>
  <si>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</si>
  <si>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</si>
  <si>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</si>
  <si>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</si>
  <si>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</si>
  <si>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</si>
  <si>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</si>
  <si>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</si>
  <si>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</si>
  <si>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</si>
  <si>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</si>
  <si>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</si>
  <si>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</si>
  <si>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</si>
  <si>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HAMPTON FALLS</t>
  </si>
  <si>
    <t>August 2004</t>
  </si>
  <si>
    <t>August 2024</t>
  </si>
  <si>
    <t>Audit Adj - Prior Year Payroll Withholdings</t>
  </si>
  <si>
    <t>HAMPTON FALLS CATASTROPHIC AID WAS PAID TO WINNACUNNET SD FOR THE SECOND YEAR IN A ROW.</t>
  </si>
  <si>
    <t>THE AMOUNT LISTED ON THIS DOE IS THE HAMPTON FALLS CAT AID FOR 2011-12.</t>
  </si>
  <si>
    <t>EDJOBS REVENUE &amp; EXPENDITURES $15,198.35 RECORDED UNDER SPECIAL REVENUE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</si>
</sst>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" fontId="37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227</v>
      </c>
      <c r="C2" s="21">
        <v>227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353615.54+228.98</f>
        <v>353844.51999999996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1534.48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25020-2135.43</f>
        <v>22884.57</v>
      </c>
      <c r="G12" s="18">
        <v>2135.4299999999998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1442.2</v>
      </c>
      <c r="G13" s="18">
        <v>946.32</v>
      </c>
      <c r="H13" s="18">
        <v>25019.99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1750.62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379921.91</v>
      </c>
      <c r="G19" s="41">
        <f>SUM(G9:G18)</f>
        <v>3081.75</v>
      </c>
      <c r="H19" s="41">
        <f>SUM(H9:H18)</f>
        <v>25019.99</v>
      </c>
      <c r="I19" s="41">
        <f>SUM(I9:I18)</f>
        <v>0</v>
      </c>
      <c r="J19" s="41">
        <f>SUM(J9:J18)</f>
        <v>1534.48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25019.99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55542.33</v>
      </c>
      <c r="G24" s="18">
        <v>196.34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4528.89+346.45+427.37</f>
        <v>5302.71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17885.8+2514.32</f>
        <v>20400.12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1735.7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81245.16</v>
      </c>
      <c r="G32" s="41">
        <f>SUM(G22:G31)</f>
        <v>1932.04</v>
      </c>
      <c r="H32" s="41">
        <f>SUM(H22:H31)</f>
        <v>25019.99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1149.71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5248.47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1534.48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137874.44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130553.84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298676.75</v>
      </c>
      <c r="G50" s="41">
        <f>SUM(G35:G49)</f>
        <v>1149.71</v>
      </c>
      <c r="H50" s="41">
        <f>SUM(H35:H49)</f>
        <v>0</v>
      </c>
      <c r="I50" s="41">
        <f>SUM(I35:I49)</f>
        <v>0</v>
      </c>
      <c r="J50" s="41">
        <f>SUM(J35:J49)</f>
        <v>1534.48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379921.91000000003</v>
      </c>
      <c r="G51" s="41">
        <f>G50+G32</f>
        <v>3081.75</v>
      </c>
      <c r="H51" s="41">
        <f>H50+H32</f>
        <v>25019.99</v>
      </c>
      <c r="I51" s="41">
        <f>I50+I32</f>
        <v>0</v>
      </c>
      <c r="J51" s="41">
        <f>J50+J32</f>
        <v>1534.48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3981537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3981537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284.22000000000003</v>
      </c>
      <c r="G95" s="18"/>
      <c r="H95" s="18"/>
      <c r="I95" s="18"/>
      <c r="J95" s="18">
        <f>30.34+21.02</f>
        <v>51.36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75638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36427.040000000001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36711.26</v>
      </c>
      <c r="G110" s="41">
        <f>SUM(G95:G109)</f>
        <v>75638</v>
      </c>
      <c r="H110" s="41">
        <f>SUM(H95:H109)</f>
        <v>0</v>
      </c>
      <c r="I110" s="41">
        <f>SUM(I95:I109)</f>
        <v>0</v>
      </c>
      <c r="J110" s="41">
        <f>SUM(J95:J109)</f>
        <v>51.36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4018248.26</v>
      </c>
      <c r="G111" s="41">
        <f>G59+G110</f>
        <v>75638</v>
      </c>
      <c r="H111" s="41">
        <f>H59+H78+H93+H110</f>
        <v>0</v>
      </c>
      <c r="I111" s="41">
        <f>I59+I110</f>
        <v>0</v>
      </c>
      <c r="J111" s="41">
        <f>J59+J110</f>
        <v>51.36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100485.93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677148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87.07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777720.99999999988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144690.79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1306.81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144690.79</v>
      </c>
      <c r="G135" s="41">
        <f>SUM(G122:G134)</f>
        <v>1306.81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922411.78999999992</v>
      </c>
      <c r="G139" s="41">
        <f>G120+SUM(G135:G136)</f>
        <v>1306.81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15198.35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15198.35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11129.86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795.38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15791.27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55968.22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20389.5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8334.41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20389.5</v>
      </c>
      <c r="G161" s="41">
        <f>SUM(G149:G160)</f>
        <v>24125.68</v>
      </c>
      <c r="H161" s="41">
        <f>SUM(H149:H160)</f>
        <v>67893.460000000006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20389.5</v>
      </c>
      <c r="G168" s="41">
        <f>G146+G161+SUM(G162:G167)</f>
        <v>24125.68</v>
      </c>
      <c r="H168" s="41">
        <f>H146+H161+SUM(H162:H167)</f>
        <v>83091.810000000012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16100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16100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16100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4961049.55</v>
      </c>
      <c r="G192" s="47">
        <f>G111+G139+G168+G191</f>
        <v>117170.48999999999</v>
      </c>
      <c r="H192" s="47">
        <f>H111+H139+H168+H191</f>
        <v>83091.810000000012</v>
      </c>
      <c r="I192" s="47">
        <f>I111+I139+I168+I191</f>
        <v>0</v>
      </c>
      <c r="J192" s="47">
        <f>J111+J139+J191</f>
        <v>51.36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1422002.72</v>
      </c>
      <c r="G196" s="18">
        <v>637056.52</v>
      </c>
      <c r="H196" s="18">
        <v>10902.26</v>
      </c>
      <c r="I196" s="18">
        <v>58033.38</v>
      </c>
      <c r="J196" s="18">
        <v>12214.81</v>
      </c>
      <c r="K196" s="18"/>
      <c r="L196" s="19">
        <f>SUM(F196:K196)</f>
        <v>2140209.69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622892.31000000006</v>
      </c>
      <c r="G197" s="18">
        <v>243830.12</v>
      </c>
      <c r="H197" s="18">
        <f>295373.14+100.02</f>
        <v>295473.16000000003</v>
      </c>
      <c r="I197" s="18">
        <v>4463.57</v>
      </c>
      <c r="J197" s="18">
        <v>937.09</v>
      </c>
      <c r="K197" s="18">
        <v>580</v>
      </c>
      <c r="L197" s="19">
        <f>SUM(F197:K197)</f>
        <v>1168176.2500000002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31739</v>
      </c>
      <c r="G199" s="18">
        <v>2634.34</v>
      </c>
      <c r="H199" s="18">
        <v>9740.39</v>
      </c>
      <c r="I199" s="18">
        <v>2712.88</v>
      </c>
      <c r="J199" s="18">
        <v>4615.18</v>
      </c>
      <c r="K199" s="18"/>
      <c r="L199" s="19">
        <f>SUM(F199:K199)</f>
        <v>51441.789999999994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35221.46+54806.96</f>
        <v>90028.42</v>
      </c>
      <c r="G201" s="18">
        <v>19875.669999999998</v>
      </c>
      <c r="H201" s="18">
        <v>100</v>
      </c>
      <c r="I201" s="18">
        <v>1319.1</v>
      </c>
      <c r="J201" s="18">
        <v>100</v>
      </c>
      <c r="K201" s="18"/>
      <c r="L201" s="19">
        <f t="shared" ref="L201:L207" si="0">SUM(F201:K201)</f>
        <v>111423.19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3600+50916.06+93233.62</f>
        <v>147749.68</v>
      </c>
      <c r="G202" s="18">
        <f>8209.11+78232.69</f>
        <v>86441.8</v>
      </c>
      <c r="H202" s="18">
        <f>9103.06+298.73+6937.07</f>
        <v>16338.859999999999</v>
      </c>
      <c r="I202" s="18">
        <f>354.14+8943.67+18826.73</f>
        <v>28124.54</v>
      </c>
      <c r="J202" s="18">
        <v>16024.08</v>
      </c>
      <c r="K202" s="18"/>
      <c r="L202" s="19">
        <f t="shared" si="0"/>
        <v>294678.95999999996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15809</v>
      </c>
      <c r="G203" s="18">
        <v>1209.3900000000001</v>
      </c>
      <c r="H203" s="18">
        <f>17997.5+95382</f>
        <v>113379.5</v>
      </c>
      <c r="I203" s="18"/>
      <c r="J203" s="18"/>
      <c r="K203" s="18">
        <v>4007.64</v>
      </c>
      <c r="L203" s="19">
        <f t="shared" si="0"/>
        <v>134405.53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131672.06</v>
      </c>
      <c r="G204" s="18">
        <v>53687.93</v>
      </c>
      <c r="H204" s="18">
        <v>4328.51</v>
      </c>
      <c r="I204" s="18">
        <v>2734.79</v>
      </c>
      <c r="J204" s="18"/>
      <c r="K204" s="18">
        <v>1315</v>
      </c>
      <c r="L204" s="19">
        <f t="shared" si="0"/>
        <v>193738.29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120299.55</v>
      </c>
      <c r="G206" s="18">
        <v>52198.34</v>
      </c>
      <c r="H206" s="18">
        <f>67826.24+22084.06</f>
        <v>89910.3</v>
      </c>
      <c r="I206" s="18">
        <v>93878.03</v>
      </c>
      <c r="J206" s="18">
        <v>75473.399999999994</v>
      </c>
      <c r="K206" s="18">
        <v>95</v>
      </c>
      <c r="L206" s="19">
        <f t="shared" si="0"/>
        <v>431854.62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197057.94</v>
      </c>
      <c r="I207" s="18"/>
      <c r="J207" s="18"/>
      <c r="K207" s="18"/>
      <c r="L207" s="19">
        <f t="shared" si="0"/>
        <v>197057.94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>
        <v>200</v>
      </c>
      <c r="L208" s="19">
        <f>SUM(F208:K208)</f>
        <v>200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2582192.7400000002</v>
      </c>
      <c r="G210" s="41">
        <f t="shared" si="1"/>
        <v>1096934.1100000001</v>
      </c>
      <c r="H210" s="41">
        <f t="shared" si="1"/>
        <v>737230.92000000016</v>
      </c>
      <c r="I210" s="41">
        <f t="shared" si="1"/>
        <v>191266.28999999998</v>
      </c>
      <c r="J210" s="41">
        <f t="shared" si="1"/>
        <v>109364.56</v>
      </c>
      <c r="K210" s="41">
        <f t="shared" si="1"/>
        <v>6197.6399999999994</v>
      </c>
      <c r="L210" s="41">
        <f t="shared" si="1"/>
        <v>4723186.2600000007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68455+62362.86</f>
        <v>130817.86</v>
      </c>
      <c r="I254" s="18"/>
      <c r="J254" s="18">
        <v>16701.599999999999</v>
      </c>
      <c r="K254" s="18"/>
      <c r="L254" s="19">
        <f t="shared" si="6"/>
        <v>147519.46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130817.86</v>
      </c>
      <c r="I255" s="41">
        <f t="shared" si="7"/>
        <v>0</v>
      </c>
      <c r="J255" s="41">
        <f t="shared" si="7"/>
        <v>16701.599999999999</v>
      </c>
      <c r="K255" s="41">
        <f t="shared" si="7"/>
        <v>0</v>
      </c>
      <c r="L255" s="41">
        <f>SUM(F255:K255)</f>
        <v>147519.46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2582192.7400000002</v>
      </c>
      <c r="G256" s="41">
        <f t="shared" si="8"/>
        <v>1096934.1100000001</v>
      </c>
      <c r="H256" s="41">
        <f t="shared" si="8"/>
        <v>868048.78000000014</v>
      </c>
      <c r="I256" s="41">
        <f t="shared" si="8"/>
        <v>191266.28999999998</v>
      </c>
      <c r="J256" s="41">
        <f t="shared" si="8"/>
        <v>126066.16</v>
      </c>
      <c r="K256" s="41">
        <f t="shared" si="8"/>
        <v>6197.6399999999994</v>
      </c>
      <c r="L256" s="41">
        <f t="shared" si="8"/>
        <v>4870705.7200000007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45000</v>
      </c>
      <c r="L259" s="19">
        <f>SUM(F259:K259)</f>
        <v>45000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43896.5</v>
      </c>
      <c r="L260" s="19">
        <f>SUM(F260:K260)</f>
        <v>43896.5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16100</v>
      </c>
      <c r="L262" s="19">
        <f>SUM(F262:K262)</f>
        <v>16100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104996.5</v>
      </c>
      <c r="L269" s="41">
        <f t="shared" si="9"/>
        <v>104996.5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2582192.7400000002</v>
      </c>
      <c r="G270" s="42">
        <f t="shared" si="11"/>
        <v>1096934.1100000001</v>
      </c>
      <c r="H270" s="42">
        <f t="shared" si="11"/>
        <v>868048.78000000014</v>
      </c>
      <c r="I270" s="42">
        <f t="shared" si="11"/>
        <v>191266.28999999998</v>
      </c>
      <c r="J270" s="42">
        <f t="shared" si="11"/>
        <v>126066.16</v>
      </c>
      <c r="K270" s="42">
        <f t="shared" si="11"/>
        <v>111194.14</v>
      </c>
      <c r="L270" s="42">
        <f t="shared" si="11"/>
        <v>4975702.2200000007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10537.5</v>
      </c>
      <c r="G275" s="18">
        <v>975.67</v>
      </c>
      <c r="H275" s="18"/>
      <c r="I275" s="18"/>
      <c r="J275" s="18"/>
      <c r="K275" s="18"/>
      <c r="L275" s="19">
        <f>SUM(F275:K275)</f>
        <v>11513.17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14894.8</v>
      </c>
      <c r="G276" s="18">
        <v>1468.1</v>
      </c>
      <c r="H276" s="18">
        <v>19472.82</v>
      </c>
      <c r="I276" s="18">
        <v>5638.94</v>
      </c>
      <c r="J276" s="18">
        <v>13558.67</v>
      </c>
      <c r="K276" s="18"/>
      <c r="L276" s="19">
        <f>SUM(F276:K276)</f>
        <v>55033.33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15198.35</v>
      </c>
      <c r="G281" s="18"/>
      <c r="H281" s="18">
        <v>192.28</v>
      </c>
      <c r="I281" s="18"/>
      <c r="J281" s="18"/>
      <c r="K281" s="18"/>
      <c r="L281" s="19">
        <f t="shared" si="12"/>
        <v>15390.630000000001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f>1484.34-258.03-71.64+0.01</f>
        <v>1154.6799999999998</v>
      </c>
      <c r="L282" s="19">
        <f t="shared" si="12"/>
        <v>1154.6799999999998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40630.65</v>
      </c>
      <c r="G289" s="42">
        <f t="shared" si="13"/>
        <v>2443.77</v>
      </c>
      <c r="H289" s="42">
        <f t="shared" si="13"/>
        <v>19665.099999999999</v>
      </c>
      <c r="I289" s="42">
        <f t="shared" si="13"/>
        <v>5638.94</v>
      </c>
      <c r="J289" s="42">
        <f t="shared" si="13"/>
        <v>13558.67</v>
      </c>
      <c r="K289" s="42">
        <f t="shared" si="13"/>
        <v>1154.6799999999998</v>
      </c>
      <c r="L289" s="41">
        <f t="shared" si="13"/>
        <v>83091.81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40630.65</v>
      </c>
      <c r="G337" s="41">
        <f t="shared" si="20"/>
        <v>2443.77</v>
      </c>
      <c r="H337" s="41">
        <f t="shared" si="20"/>
        <v>19665.099999999999</v>
      </c>
      <c r="I337" s="41">
        <f t="shared" si="20"/>
        <v>5638.94</v>
      </c>
      <c r="J337" s="41">
        <f t="shared" si="20"/>
        <v>13558.67</v>
      </c>
      <c r="K337" s="41">
        <f t="shared" si="20"/>
        <v>1154.6799999999998</v>
      </c>
      <c r="L337" s="41">
        <f t="shared" si="20"/>
        <v>83091.81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40630.65</v>
      </c>
      <c r="G351" s="41">
        <f>G337</f>
        <v>2443.77</v>
      </c>
      <c r="H351" s="41">
        <f>H337</f>
        <v>19665.099999999999</v>
      </c>
      <c r="I351" s="41">
        <f>I337</f>
        <v>5638.94</v>
      </c>
      <c r="J351" s="41">
        <f>J337</f>
        <v>13558.67</v>
      </c>
      <c r="K351" s="47">
        <f>K337+K350</f>
        <v>1154.6799999999998</v>
      </c>
      <c r="L351" s="41">
        <f>L337+L350</f>
        <v>83091.81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33999.9+28456.68+263.25</f>
        <v>62719.83</v>
      </c>
      <c r="G357" s="18"/>
      <c r="H357" s="18">
        <f>2198.29</f>
        <v>2198.29</v>
      </c>
      <c r="I357" s="18">
        <f>2277.58+40860.6+8334.41</f>
        <v>51472.59</v>
      </c>
      <c r="J357" s="18"/>
      <c r="K357" s="18">
        <v>740.5</v>
      </c>
      <c r="L357" s="13">
        <f>SUM(F357:K357)</f>
        <v>117131.20999999999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62719.83</v>
      </c>
      <c r="G361" s="47">
        <f t="shared" si="22"/>
        <v>0</v>
      </c>
      <c r="H361" s="47">
        <f t="shared" si="22"/>
        <v>2198.29</v>
      </c>
      <c r="I361" s="47">
        <f t="shared" si="22"/>
        <v>51472.59</v>
      </c>
      <c r="J361" s="47">
        <f t="shared" si="22"/>
        <v>0</v>
      </c>
      <c r="K361" s="47">
        <f t="shared" si="22"/>
        <v>740.5</v>
      </c>
      <c r="L361" s="47">
        <f t="shared" si="22"/>
        <v>117131.20999999999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40860.6+8334.41</f>
        <v>49195.009999999995</v>
      </c>
      <c r="G366" s="18"/>
      <c r="H366" s="18"/>
      <c r="I366" s="56">
        <f>SUM(F366:H366)</f>
        <v>49195.009999999995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2277.58</v>
      </c>
      <c r="G367" s="63"/>
      <c r="H367" s="63"/>
      <c r="I367" s="56">
        <f>SUM(F367:H367)</f>
        <v>2277.58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51472.59</v>
      </c>
      <c r="G368" s="47">
        <f>SUM(G366:G367)</f>
        <v>0</v>
      </c>
      <c r="H368" s="47">
        <f>SUM(H366:H367)</f>
        <v>0</v>
      </c>
      <c r="I368" s="47">
        <f>SUM(I366:I367)</f>
        <v>51472.59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f>30.34+21.02</f>
        <v>51.36</v>
      </c>
      <c r="I398" s="18"/>
      <c r="J398" s="24" t="s">
        <v>289</v>
      </c>
      <c r="K398" s="24" t="s">
        <v>289</v>
      </c>
      <c r="L398" s="56">
        <f t="shared" si="26"/>
        <v>51.36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51.36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51.36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51.36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51.36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v>1534.48</v>
      </c>
      <c r="I439" s="56">
        <f t="shared" si="33"/>
        <v>1534.48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1534.48</v>
      </c>
      <c r="I445" s="13">
        <f>SUM(I438:I444)</f>
        <v>1534.48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>
        <v>1534.48</v>
      </c>
      <c r="I458" s="56">
        <f t="shared" si="34"/>
        <v>1534.48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1534.48</v>
      </c>
      <c r="I459" s="83">
        <f>SUM(I453:I458)</f>
        <v>1534.48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1534.48</v>
      </c>
      <c r="I460" s="42">
        <f>I451+I459</f>
        <v>1534.48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313533.46000000002</v>
      </c>
      <c r="G464" s="18">
        <v>1110.43</v>
      </c>
      <c r="H464" s="18">
        <v>0</v>
      </c>
      <c r="I464" s="18"/>
      <c r="J464" s="18">
        <v>1483.12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4961049.55</v>
      </c>
      <c r="G467" s="18">
        <v>117170.49</v>
      </c>
      <c r="H467" s="18">
        <v>83091.81</v>
      </c>
      <c r="I467" s="18"/>
      <c r="J467" s="18">
        <f>30.34+21.02</f>
        <v>51.36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4961049.55</v>
      </c>
      <c r="G469" s="53">
        <f>SUM(G467:G468)</f>
        <v>117170.49</v>
      </c>
      <c r="H469" s="53">
        <f>SUM(H467:H468)</f>
        <v>83091.81</v>
      </c>
      <c r="I469" s="53">
        <f>SUM(I467:I468)</f>
        <v>0</v>
      </c>
      <c r="J469" s="53">
        <f>SUM(J467:J468)</f>
        <v>51.36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4975702.22</v>
      </c>
      <c r="G471" s="18">
        <v>117131.21</v>
      </c>
      <c r="H471" s="18">
        <v>83091.81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204.04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4975906.26</v>
      </c>
      <c r="G473" s="53">
        <f>SUM(G471:G472)</f>
        <v>117131.21</v>
      </c>
      <c r="H473" s="53">
        <f>SUM(H471:H472)</f>
        <v>83091.81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298676.75</v>
      </c>
      <c r="G475" s="53">
        <f>(G464+G469)- G473</f>
        <v>1149.7099999999919</v>
      </c>
      <c r="H475" s="53">
        <f>(H464+H469)- H473</f>
        <v>0</v>
      </c>
      <c r="I475" s="53">
        <f>(I464+I469)- I473</f>
        <v>0</v>
      </c>
      <c r="J475" s="53">
        <f>(J464+J469)- J473</f>
        <v>1534.4799999999998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 t="s">
        <v>912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1468000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930000</v>
      </c>
      <c r="G494" s="18"/>
      <c r="H494" s="18"/>
      <c r="I494" s="18"/>
      <c r="J494" s="18"/>
      <c r="K494" s="53">
        <f>SUM(F494:J494)</f>
        <v>930000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45000+23068.75+21943.75-1116</f>
        <v>88896.5</v>
      </c>
      <c r="G496" s="18"/>
      <c r="H496" s="18"/>
      <c r="I496" s="18"/>
      <c r="J496" s="18"/>
      <c r="K496" s="53">
        <f t="shared" si="35"/>
        <v>88896.5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885000</v>
      </c>
      <c r="G497" s="205"/>
      <c r="H497" s="205"/>
      <c r="I497" s="205"/>
      <c r="J497" s="205"/>
      <c r="K497" s="206">
        <f t="shared" si="35"/>
        <v>885000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293377.77</v>
      </c>
      <c r="G498" s="18"/>
      <c r="H498" s="18"/>
      <c r="I498" s="18"/>
      <c r="J498" s="18"/>
      <c r="K498" s="53">
        <f t="shared" si="35"/>
        <v>293377.77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1178377.77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1178377.77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50000</v>
      </c>
      <c r="G500" s="205"/>
      <c r="H500" s="205"/>
      <c r="I500" s="205"/>
      <c r="J500" s="205"/>
      <c r="K500" s="206">
        <f t="shared" si="35"/>
        <v>50000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21943.75+20693.75-1116</f>
        <v>41521.5</v>
      </c>
      <c r="G501" s="18"/>
      <c r="H501" s="18"/>
      <c r="I501" s="18"/>
      <c r="J501" s="18"/>
      <c r="K501" s="53">
        <f t="shared" si="35"/>
        <v>41521.5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91521.5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91521.5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276806.76+171182.89+14894.8</f>
        <v>462884.45</v>
      </c>
      <c r="G520" s="18">
        <f>94763.63+86304.53+1468.1</f>
        <v>182536.26</v>
      </c>
      <c r="H520" s="18">
        <f>295373.14-3468.98+100.02+19472.82</f>
        <v>311477.00000000006</v>
      </c>
      <c r="I520" s="18">
        <f>4463.57+5638.94</f>
        <v>10102.509999999998</v>
      </c>
      <c r="J520" s="18">
        <f>937.09+13558.67</f>
        <v>14495.76</v>
      </c>
      <c r="K520" s="18"/>
      <c r="L520" s="88">
        <f>SUM(F520:K520)</f>
        <v>981495.98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462884.45</v>
      </c>
      <c r="G523" s="108">
        <f t="shared" ref="G523:L523" si="36">SUM(G520:G522)</f>
        <v>182536.26</v>
      </c>
      <c r="H523" s="108">
        <f t="shared" si="36"/>
        <v>311477.00000000006</v>
      </c>
      <c r="I523" s="108">
        <f t="shared" si="36"/>
        <v>10102.509999999998</v>
      </c>
      <c r="J523" s="108">
        <f t="shared" si="36"/>
        <v>14495.76</v>
      </c>
      <c r="K523" s="108">
        <f t="shared" si="36"/>
        <v>0</v>
      </c>
      <c r="L523" s="89">
        <f t="shared" si="36"/>
        <v>981495.98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72214.960000000006</v>
      </c>
      <c r="G525" s="18">
        <v>31504.11</v>
      </c>
      <c r="H525" s="18"/>
      <c r="I525" s="18"/>
      <c r="J525" s="18"/>
      <c r="K525" s="18"/>
      <c r="L525" s="88">
        <f>SUM(F525:K525)</f>
        <v>103719.07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72214.960000000006</v>
      </c>
      <c r="G528" s="89">
        <f t="shared" ref="G528:L528" si="37">SUM(G525:G527)</f>
        <v>31504.11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103719.07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82623.04+20064.66</f>
        <v>102687.7</v>
      </c>
      <c r="G530" s="18">
        <f>26223.56+5034.29</f>
        <v>31257.850000000002</v>
      </c>
      <c r="H530" s="18"/>
      <c r="I530" s="18"/>
      <c r="J530" s="18"/>
      <c r="K530" s="18">
        <f>580+934.89</f>
        <v>1514.8899999999999</v>
      </c>
      <c r="L530" s="88">
        <f>SUM(F530:K530)</f>
        <v>135460.44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102687.7</v>
      </c>
      <c r="G533" s="89">
        <f t="shared" ref="G533:L533" si="38">SUM(G530:G532)</f>
        <v>31257.850000000002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1514.8899999999999</v>
      </c>
      <c r="L533" s="89">
        <f t="shared" si="38"/>
        <v>135460.44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3468.98</v>
      </c>
      <c r="I535" s="18"/>
      <c r="J535" s="18"/>
      <c r="K535" s="18"/>
      <c r="L535" s="88">
        <f>SUM(F535:K535)</f>
        <v>3468.98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3468.98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3468.98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20134.900000000001</v>
      </c>
      <c r="I540" s="18"/>
      <c r="J540" s="18"/>
      <c r="K540" s="18"/>
      <c r="L540" s="88">
        <f>SUM(F540:K540)</f>
        <v>20134.900000000001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20134.900000000001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20134.900000000001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637787.11</v>
      </c>
      <c r="G544" s="89">
        <f t="shared" ref="G544:L544" si="41">G523+G528+G533+G538+G543</f>
        <v>245298.22</v>
      </c>
      <c r="H544" s="89">
        <f t="shared" si="41"/>
        <v>335080.88000000006</v>
      </c>
      <c r="I544" s="89">
        <f t="shared" si="41"/>
        <v>10102.509999999998</v>
      </c>
      <c r="J544" s="89">
        <f t="shared" si="41"/>
        <v>14495.76</v>
      </c>
      <c r="K544" s="89">
        <f t="shared" si="41"/>
        <v>1514.8899999999999</v>
      </c>
      <c r="L544" s="89">
        <f t="shared" si="41"/>
        <v>1244279.3699999999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981495.98</v>
      </c>
      <c r="G548" s="87">
        <f>L525</f>
        <v>103719.07</v>
      </c>
      <c r="H548" s="87">
        <f>L530</f>
        <v>135460.44</v>
      </c>
      <c r="I548" s="87">
        <f>L535</f>
        <v>3468.98</v>
      </c>
      <c r="J548" s="87">
        <f>L540</f>
        <v>20134.900000000001</v>
      </c>
      <c r="K548" s="87">
        <f>SUM(F548:J548)</f>
        <v>1244279.3699999999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981495.98</v>
      </c>
      <c r="G551" s="89">
        <f t="shared" si="42"/>
        <v>103719.07</v>
      </c>
      <c r="H551" s="89">
        <f t="shared" si="42"/>
        <v>135460.44</v>
      </c>
      <c r="I551" s="89">
        <f t="shared" si="42"/>
        <v>3468.98</v>
      </c>
      <c r="J551" s="89">
        <f t="shared" si="42"/>
        <v>20134.900000000001</v>
      </c>
      <c r="K551" s="89">
        <f t="shared" si="42"/>
        <v>1244279.3699999999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44132.639999999999</v>
      </c>
      <c r="G581" s="18"/>
      <c r="H581" s="18"/>
      <c r="I581" s="87">
        <f t="shared" si="47"/>
        <v>44132.639999999999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54451.5</v>
      </c>
      <c r="G582" s="18"/>
      <c r="H582" s="18"/>
      <c r="I582" s="87">
        <f t="shared" si="47"/>
        <v>54451.5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168043.43</v>
      </c>
      <c r="I590" s="18"/>
      <c r="J590" s="18"/>
      <c r="K590" s="104">
        <f t="shared" ref="K590:K596" si="48">SUM(H590:J590)</f>
        <v>168043.43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20134.900000000001</v>
      </c>
      <c r="I591" s="18"/>
      <c r="J591" s="18"/>
      <c r="K591" s="104">
        <f t="shared" si="48"/>
        <v>20134.900000000001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4607.24</v>
      </c>
      <c r="I593" s="18"/>
      <c r="J593" s="18"/>
      <c r="K593" s="104">
        <f t="shared" si="48"/>
        <v>4607.24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2341.5700000000002</v>
      </c>
      <c r="I594" s="18"/>
      <c r="J594" s="18"/>
      <c r="K594" s="104">
        <f t="shared" si="48"/>
        <v>2341.5700000000002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1930.8</v>
      </c>
      <c r="I596" s="18"/>
      <c r="J596" s="18"/>
      <c r="K596" s="104">
        <f t="shared" si="48"/>
        <v>1930.8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197057.93999999997</v>
      </c>
      <c r="I597" s="108">
        <f>SUM(I590:I596)</f>
        <v>0</v>
      </c>
      <c r="J597" s="108">
        <f>SUM(J590:J596)</f>
        <v>0</v>
      </c>
      <c r="K597" s="108">
        <f>SUM(K590:K596)</f>
        <v>197057.93999999997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f>68773.73</f>
        <v>68773.73</v>
      </c>
      <c r="I602" s="18"/>
      <c r="J602" s="18"/>
      <c r="K602" s="104">
        <f>SUM(H602:J602)</f>
        <v>68773.73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40590.83+13558.67</f>
        <v>54149.5</v>
      </c>
      <c r="I603" s="18"/>
      <c r="J603" s="18"/>
      <c r="K603" s="104">
        <f>SUM(H603:J603)</f>
        <v>54149.5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122923.23</v>
      </c>
      <c r="I604" s="108">
        <f>SUM(I601:I603)</f>
        <v>0</v>
      </c>
      <c r="J604" s="108">
        <f>SUM(J601:J603)</f>
        <v>0</v>
      </c>
      <c r="K604" s="108">
        <f>SUM(K601:K603)</f>
        <v>122923.23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379921.91</v>
      </c>
      <c r="H616" s="109">
        <f>SUM(F51)</f>
        <v>379921.91000000003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3081.75</v>
      </c>
      <c r="H617" s="109">
        <f>SUM(G51)</f>
        <v>3081.75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25019.99</v>
      </c>
      <c r="H618" s="109">
        <f>SUM(H51)</f>
        <v>25019.99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1534.48</v>
      </c>
      <c r="H620" s="109">
        <f>SUM(J51)</f>
        <v>1534.48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298676.75</v>
      </c>
      <c r="H621" s="109">
        <f>F475</f>
        <v>298676.75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1149.71</v>
      </c>
      <c r="H622" s="109">
        <f>G475</f>
        <v>1149.7099999999919</v>
      </c>
      <c r="I622" s="121" t="s">
        <v>102</v>
      </c>
      <c r="J622" s="109">
        <f t="shared" si="50"/>
        <v>8.1854523159563541E-12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1534.48</v>
      </c>
      <c r="H625" s="109">
        <f>J475</f>
        <v>1534.4799999999998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4961049.55</v>
      </c>
      <c r="H626" s="104">
        <f>SUM(F467)</f>
        <v>4961049.55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117170.48999999999</v>
      </c>
      <c r="H627" s="104">
        <f>SUM(G467)</f>
        <v>117170.49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83091.810000000012</v>
      </c>
      <c r="H628" s="104">
        <f>SUM(H467)</f>
        <v>83091.81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51.36</v>
      </c>
      <c r="H630" s="104">
        <f>SUM(J467)</f>
        <v>51.36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4975702.2200000007</v>
      </c>
      <c r="H631" s="104">
        <f>SUM(F471)</f>
        <v>4975702.22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83091.81</v>
      </c>
      <c r="H632" s="104">
        <f>SUM(H471)</f>
        <v>83091.81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51472.59</v>
      </c>
      <c r="H633" s="104">
        <f>I368</f>
        <v>51472.59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117131.20999999999</v>
      </c>
      <c r="H634" s="104">
        <f>SUM(G471)</f>
        <v>117131.21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51.36</v>
      </c>
      <c r="H636" s="164">
        <f>SUM(J467)</f>
        <v>51.36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1534.48</v>
      </c>
      <c r="H640" s="104">
        <f>SUM(H460)</f>
        <v>1534.48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1534.48</v>
      </c>
      <c r="H641" s="104">
        <f>SUM(I460)</f>
        <v>1534.48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51.36</v>
      </c>
      <c r="H643" s="104">
        <f>H407</f>
        <v>51.36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51.36</v>
      </c>
      <c r="H645" s="104">
        <f>L407</f>
        <v>51.36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197057.93999999997</v>
      </c>
      <c r="H646" s="104">
        <f>L207+L225+L243</f>
        <v>197057.94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122923.23</v>
      </c>
      <c r="H647" s="104">
        <f>(J256+J337)-(J254+J335)</f>
        <v>122923.23000000001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197057.94</v>
      </c>
      <c r="H648" s="104">
        <f>H597</f>
        <v>197057.93999999997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16100</v>
      </c>
      <c r="H651" s="104">
        <f>K262+K344</f>
        <v>16100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4923409.28</v>
      </c>
      <c r="G659" s="19">
        <f>(L228+L308+L358)</f>
        <v>0</v>
      </c>
      <c r="H659" s="19">
        <f>(L246+L327+L359)</f>
        <v>0</v>
      </c>
      <c r="I659" s="19">
        <f>SUM(F659:H659)</f>
        <v>4923409.28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75638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75638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197057.94</v>
      </c>
      <c r="G661" s="19">
        <f>(L225+L305)-(J225+J305)</f>
        <v>0</v>
      </c>
      <c r="H661" s="19">
        <f>(L243+L324)-(J243+J324)</f>
        <v>0</v>
      </c>
      <c r="I661" s="19">
        <f>SUM(F661:H661)</f>
        <v>197057.94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221507.37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221507.37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4429205.9700000007</v>
      </c>
      <c r="G663" s="19">
        <f>G659-SUM(G660:G662)</f>
        <v>0</v>
      </c>
      <c r="H663" s="19">
        <f>H659-SUM(H660:H662)</f>
        <v>0</v>
      </c>
      <c r="I663" s="19">
        <f>I659-SUM(I660:I662)</f>
        <v>4429205.9700000007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261.33</v>
      </c>
      <c r="G664" s="249"/>
      <c r="H664" s="249"/>
      <c r="I664" s="19">
        <f>SUM(F664:H664)</f>
        <v>261.33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16948.71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16948.71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16948.71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16948.71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HAMPTON FALLS</v>
      </c>
      <c r="C1" s="239" t="s">
        <v>839</v>
      </c>
    </row>
    <row r="2" spans="1:3">
      <c r="A2" s="234"/>
      <c r="B2" s="233"/>
    </row>
    <row r="3" spans="1:3">
      <c r="A3" s="275" t="s">
        <v>784</v>
      </c>
      <c r="B3" s="275"/>
      <c r="C3" s="275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4" t="s">
        <v>783</v>
      </c>
      <c r="C6" s="274"/>
    </row>
    <row r="7" spans="1:3">
      <c r="A7" s="240" t="s">
        <v>786</v>
      </c>
      <c r="B7" s="272" t="s">
        <v>782</v>
      </c>
      <c r="C7" s="273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1432540.22</v>
      </c>
      <c r="C9" s="230">
        <f>'DOE25'!G196+'DOE25'!G214+'DOE25'!G232+'DOE25'!G275+'DOE25'!G294+'DOE25'!G313</f>
        <v>638032.19000000006</v>
      </c>
    </row>
    <row r="10" spans="1:3">
      <c r="A10" t="s">
        <v>779</v>
      </c>
      <c r="B10" s="241">
        <f>1376031.87+9050</f>
        <v>1385081.87</v>
      </c>
      <c r="C10" s="241">
        <f>751.62+31.67+39.82+604501.21</f>
        <v>605324.31999999995</v>
      </c>
    </row>
    <row r="11" spans="1:3">
      <c r="A11" t="s">
        <v>780</v>
      </c>
      <c r="B11" s="271">
        <f>29835.85+150+187.5+525</f>
        <v>30698.35</v>
      </c>
      <c r="C11" s="241">
        <f>14.35+40.17+37.3+15.98+42.3+31260.53</f>
        <v>31410.629999999997</v>
      </c>
    </row>
    <row r="12" spans="1:3">
      <c r="A12" t="s">
        <v>781</v>
      </c>
      <c r="B12" s="241">
        <f>15985+775</f>
        <v>16760</v>
      </c>
      <c r="C12" s="241">
        <f>-0.02+0.68+1.8+1294.78</f>
        <v>1297.24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1432540.2200000002</v>
      </c>
      <c r="C13" s="232">
        <f>SUM(C10:C12)</f>
        <v>638032.18999999994</v>
      </c>
    </row>
    <row r="14" spans="1:3">
      <c r="B14" s="231"/>
      <c r="C14" s="231"/>
    </row>
    <row r="15" spans="1:3">
      <c r="B15" s="274" t="s">
        <v>783</v>
      </c>
      <c r="C15" s="274"/>
    </row>
    <row r="16" spans="1:3">
      <c r="A16" s="240" t="s">
        <v>787</v>
      </c>
      <c r="B16" s="272" t="s">
        <v>707</v>
      </c>
      <c r="C16" s="273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637787.1100000001</v>
      </c>
      <c r="C18" s="230">
        <f>'DOE25'!G197+'DOE25'!G215+'DOE25'!G233+'DOE25'!G276+'DOE25'!G295+'DOE25'!G314</f>
        <v>245298.22</v>
      </c>
    </row>
    <row r="19" spans="1:3">
      <c r="A19" t="s">
        <v>779</v>
      </c>
      <c r="B19" s="241">
        <f>276806.76+72214.96</f>
        <v>349021.72000000003</v>
      </c>
      <c r="C19" s="241">
        <f>94763.63+31504.11</f>
        <v>126267.74</v>
      </c>
    </row>
    <row r="20" spans="1:3">
      <c r="A20" t="s">
        <v>780</v>
      </c>
      <c r="B20" s="241">
        <f>171182.89+14894.8</f>
        <v>186077.69</v>
      </c>
      <c r="C20" s="241">
        <f>1468.1+86304.53</f>
        <v>87772.63</v>
      </c>
    </row>
    <row r="21" spans="1:3">
      <c r="A21" t="s">
        <v>781</v>
      </c>
      <c r="B21" s="241">
        <f>82623.04+20064.66</f>
        <v>102687.7</v>
      </c>
      <c r="C21" s="241">
        <f>26223.56+5034.29</f>
        <v>31257.850000000002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637787.11</v>
      </c>
      <c r="C22" s="232">
        <f>SUM(C19:C21)</f>
        <v>245298.22</v>
      </c>
    </row>
    <row r="23" spans="1:3">
      <c r="B23" s="231"/>
      <c r="C23" s="231"/>
    </row>
    <row r="24" spans="1:3">
      <c r="B24" s="274" t="s">
        <v>783</v>
      </c>
      <c r="C24" s="274"/>
    </row>
    <row r="25" spans="1:3">
      <c r="A25" s="240" t="s">
        <v>788</v>
      </c>
      <c r="B25" s="272" t="s">
        <v>708</v>
      </c>
      <c r="C25" s="273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4" t="s">
        <v>783</v>
      </c>
      <c r="C33" s="274"/>
    </row>
    <row r="34" spans="1:3">
      <c r="A34" s="240" t="s">
        <v>789</v>
      </c>
      <c r="B34" s="272" t="s">
        <v>709</v>
      </c>
      <c r="C34" s="273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31739</v>
      </c>
      <c r="C36" s="236">
        <f>'DOE25'!G199+'DOE25'!G217+'DOE25'!G235+'DOE25'!G278+'DOE25'!G297+'DOE25'!G316</f>
        <v>2634.34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31739</v>
      </c>
      <c r="C39" s="241">
        <v>2634.34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31739</v>
      </c>
      <c r="C40" s="232">
        <f>SUM(C37:C39)</f>
        <v>2634.34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>
      <c r="A2" s="33" t="s">
        <v>717</v>
      </c>
      <c r="B2" s="266" t="str">
        <f>'DOE25'!A2</f>
        <v>HAMPTON FALLS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3359827.7300000004</v>
      </c>
      <c r="D5" s="20">
        <f>SUM('DOE25'!L196:L199)+SUM('DOE25'!L214:L217)+SUM('DOE25'!L232:L235)-F5-G5</f>
        <v>3341480.6500000004</v>
      </c>
      <c r="E5" s="244"/>
      <c r="F5" s="256">
        <f>SUM('DOE25'!J196:J199)+SUM('DOE25'!J214:J217)+SUM('DOE25'!J232:J235)</f>
        <v>17767.080000000002</v>
      </c>
      <c r="G5" s="53">
        <f>SUM('DOE25'!K196:K199)+SUM('DOE25'!K214:K217)+SUM('DOE25'!K232:K235)</f>
        <v>580</v>
      </c>
      <c r="H5" s="260"/>
    </row>
    <row r="6" spans="1:9">
      <c r="A6" s="32">
        <v>2100</v>
      </c>
      <c r="B6" t="s">
        <v>801</v>
      </c>
      <c r="C6" s="246">
        <f t="shared" si="0"/>
        <v>111423.19</v>
      </c>
      <c r="D6" s="20">
        <f>'DOE25'!L201+'DOE25'!L219+'DOE25'!L237-F6-G6</f>
        <v>111323.19</v>
      </c>
      <c r="E6" s="244"/>
      <c r="F6" s="256">
        <f>'DOE25'!J201+'DOE25'!J219+'DOE25'!J237</f>
        <v>100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294678.95999999996</v>
      </c>
      <c r="D7" s="20">
        <f>'DOE25'!L202+'DOE25'!L220+'DOE25'!L238-F7-G7</f>
        <v>278654.87999999995</v>
      </c>
      <c r="E7" s="244"/>
      <c r="F7" s="256">
        <f>'DOE25'!J202+'DOE25'!J220+'DOE25'!J238</f>
        <v>16024.08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66524.240000000005</v>
      </c>
      <c r="D8" s="244"/>
      <c r="E8" s="20">
        <f>'DOE25'!L203+'DOE25'!L221+'DOE25'!L239-F8-G8-D9-D11</f>
        <v>62516.6</v>
      </c>
      <c r="F8" s="256">
        <f>'DOE25'!J203+'DOE25'!J221+'DOE25'!J239</f>
        <v>0</v>
      </c>
      <c r="G8" s="53">
        <f>'DOE25'!K203+'DOE25'!K221+'DOE25'!K239</f>
        <v>4007.64</v>
      </c>
      <c r="H8" s="260"/>
    </row>
    <row r="9" spans="1:9">
      <c r="A9" s="32">
        <v>2310</v>
      </c>
      <c r="B9" t="s">
        <v>818</v>
      </c>
      <c r="C9" s="246">
        <f t="shared" si="0"/>
        <v>37814.14</v>
      </c>
      <c r="D9" s="245">
        <v>37814.14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13109.5</v>
      </c>
      <c r="D10" s="244"/>
      <c r="E10" s="245">
        <v>13109.5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30067.15</v>
      </c>
      <c r="D11" s="245">
        <v>30067.15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193738.29</v>
      </c>
      <c r="D12" s="20">
        <f>'DOE25'!L204+'DOE25'!L222+'DOE25'!L240-F12-G12</f>
        <v>192423.29</v>
      </c>
      <c r="E12" s="244"/>
      <c r="F12" s="256">
        <f>'DOE25'!J204+'DOE25'!J222+'DOE25'!J240</f>
        <v>0</v>
      </c>
      <c r="G12" s="53">
        <f>'DOE25'!K204+'DOE25'!K222+'DOE25'!K240</f>
        <v>1315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431854.62</v>
      </c>
      <c r="D14" s="20">
        <f>'DOE25'!L206+'DOE25'!L224+'DOE25'!L242-F14-G14</f>
        <v>356286.22</v>
      </c>
      <c r="E14" s="244"/>
      <c r="F14" s="256">
        <f>'DOE25'!J206+'DOE25'!J224+'DOE25'!J242</f>
        <v>75473.399999999994</v>
      </c>
      <c r="G14" s="53">
        <f>'DOE25'!K206+'DOE25'!K224+'DOE25'!K242</f>
        <v>95</v>
      </c>
      <c r="H14" s="260"/>
    </row>
    <row r="15" spans="1:9">
      <c r="A15" s="32">
        <v>2700</v>
      </c>
      <c r="B15" t="s">
        <v>804</v>
      </c>
      <c r="C15" s="246">
        <f t="shared" si="0"/>
        <v>197057.94</v>
      </c>
      <c r="D15" s="20">
        <f>'DOE25'!L207+'DOE25'!L225+'DOE25'!L243-F15-G15</f>
        <v>197057.94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200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200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147519.46</v>
      </c>
      <c r="D22" s="244"/>
      <c r="E22" s="244"/>
      <c r="F22" s="256">
        <f>'DOE25'!L254+'DOE25'!L335</f>
        <v>147519.46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88896.5</v>
      </c>
      <c r="D25" s="244"/>
      <c r="E25" s="244"/>
      <c r="F25" s="259"/>
      <c r="G25" s="257"/>
      <c r="H25" s="258">
        <f>'DOE25'!L259+'DOE25'!L260+'DOE25'!L340+'DOE25'!L341</f>
        <v>88896.5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67936.2</v>
      </c>
      <c r="D29" s="20">
        <f>'DOE25'!L357+'DOE25'!L358+'DOE25'!L359-'DOE25'!I366-F29-G29</f>
        <v>67195.7</v>
      </c>
      <c r="E29" s="244"/>
      <c r="F29" s="256">
        <f>'DOE25'!J357+'DOE25'!J358+'DOE25'!J359</f>
        <v>0</v>
      </c>
      <c r="G29" s="53">
        <f>'DOE25'!K357+'DOE25'!K358+'DOE25'!K359</f>
        <v>740.5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83091.81</v>
      </c>
      <c r="D31" s="20">
        <f>'DOE25'!L289+'DOE25'!L308+'DOE25'!L327+'DOE25'!L332+'DOE25'!L333+'DOE25'!L334-F31-G31</f>
        <v>68378.460000000006</v>
      </c>
      <c r="E31" s="244"/>
      <c r="F31" s="256">
        <f>'DOE25'!J289+'DOE25'!J308+'DOE25'!J327+'DOE25'!J332+'DOE25'!J333+'DOE25'!J334</f>
        <v>13558.67</v>
      </c>
      <c r="G31" s="53">
        <f>'DOE25'!K289+'DOE25'!K308+'DOE25'!K327+'DOE25'!K332+'DOE25'!K333+'DOE25'!K334</f>
        <v>1154.6799999999998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4680681.620000001</v>
      </c>
      <c r="E33" s="247">
        <f>SUM(E5:E31)</f>
        <v>75626.100000000006</v>
      </c>
      <c r="F33" s="247">
        <f>SUM(F5:F31)</f>
        <v>270442.69</v>
      </c>
      <c r="G33" s="247">
        <f>SUM(G5:G31)</f>
        <v>8092.82</v>
      </c>
      <c r="H33" s="247">
        <f>SUM(H5:H31)</f>
        <v>88896.5</v>
      </c>
    </row>
    <row r="35" spans="2:8" ht="12" thickBot="1">
      <c r="B35" s="254" t="s">
        <v>847</v>
      </c>
      <c r="D35" s="255">
        <f>E33</f>
        <v>75626.100000000006</v>
      </c>
      <c r="E35" s="250"/>
    </row>
    <row r="36" spans="2:8" ht="12" thickTop="1">
      <c r="B36" t="s">
        <v>815</v>
      </c>
      <c r="D36" s="20">
        <f>D33</f>
        <v>4680681.620000001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B44" sqref="B44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HAMPTON FALLS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353844.51999999996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1534.48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22884.57</v>
      </c>
      <c r="D11" s="95">
        <f>'DOE25'!G12</f>
        <v>2135.4299999999998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1442.2</v>
      </c>
      <c r="D12" s="95">
        <f>'DOE25'!G13</f>
        <v>946.32</v>
      </c>
      <c r="E12" s="95">
        <f>'DOE25'!H13</f>
        <v>25019.99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1750.62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379921.91</v>
      </c>
      <c r="D18" s="41">
        <f>SUM(D8:D17)</f>
        <v>3081.75</v>
      </c>
      <c r="E18" s="41">
        <f>SUM(E8:E17)</f>
        <v>25019.99</v>
      </c>
      <c r="F18" s="41">
        <f>SUM(F8:F17)</f>
        <v>0</v>
      </c>
      <c r="G18" s="41">
        <f>SUM(G8:G17)</f>
        <v>1534.48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25019.99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55542.33</v>
      </c>
      <c r="D23" s="95">
        <f>'DOE25'!G24</f>
        <v>196.34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5302.71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20400.12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1735.7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81245.16</v>
      </c>
      <c r="D31" s="41">
        <f>SUM(D21:D30)</f>
        <v>1932.04</v>
      </c>
      <c r="E31" s="41">
        <f>SUM(E21:E30)</f>
        <v>25019.99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1149.71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5248.47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1534.48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137874.44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130553.84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298676.75</v>
      </c>
      <c r="D49" s="41">
        <f>SUM(D34:D48)</f>
        <v>1149.71</v>
      </c>
      <c r="E49" s="41">
        <f>SUM(E34:E48)</f>
        <v>0</v>
      </c>
      <c r="F49" s="41">
        <f>SUM(F34:F48)</f>
        <v>0</v>
      </c>
      <c r="G49" s="41">
        <f>SUM(G34:G48)</f>
        <v>1534.48</v>
      </c>
      <c r="H49" s="124"/>
      <c r="I49" s="124"/>
    </row>
    <row r="50" spans="1:9" ht="12" thickTop="1">
      <c r="A50" s="38" t="s">
        <v>895</v>
      </c>
      <c r="B50" s="2"/>
      <c r="C50" s="41">
        <f>C49+C31</f>
        <v>379921.91000000003</v>
      </c>
      <c r="D50" s="41">
        <f>D49+D31</f>
        <v>3081.75</v>
      </c>
      <c r="E50" s="41">
        <f>E49+E31</f>
        <v>25019.99</v>
      </c>
      <c r="F50" s="41">
        <f>F49+F31</f>
        <v>0</v>
      </c>
      <c r="G50" s="41">
        <f>G49+G31</f>
        <v>1534.48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3981537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284.22000000000003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51.36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75638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36427.040000000001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36711.26</v>
      </c>
      <c r="D61" s="130">
        <f>SUM(D56:D60)</f>
        <v>75638</v>
      </c>
      <c r="E61" s="130">
        <f>SUM(E56:E60)</f>
        <v>0</v>
      </c>
      <c r="F61" s="130">
        <f>SUM(F56:F60)</f>
        <v>0</v>
      </c>
      <c r="G61" s="130">
        <f>SUM(G56:G60)</f>
        <v>51.36</v>
      </c>
      <c r="H61"/>
      <c r="I61"/>
    </row>
    <row r="62" spans="1:9" ht="12" thickTop="1">
      <c r="A62" s="29" t="s">
        <v>175</v>
      </c>
      <c r="B62" s="6"/>
      <c r="C62" s="22">
        <f>C55+C61</f>
        <v>4018248.26</v>
      </c>
      <c r="D62" s="22">
        <f>D55+D61</f>
        <v>75638</v>
      </c>
      <c r="E62" s="22">
        <f>E55+E61</f>
        <v>0</v>
      </c>
      <c r="F62" s="22">
        <f>F55+F61</f>
        <v>0</v>
      </c>
      <c r="G62" s="22">
        <f>G55+G61</f>
        <v>51.36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100485.93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677148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87.07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777720.99999999988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144690.79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1306.81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144690.79</v>
      </c>
      <c r="D77" s="130">
        <f>SUM(D71:D76)</f>
        <v>1306.81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922411.78999999992</v>
      </c>
      <c r="D80" s="130">
        <f>SUM(D78:D79)+D77+D69</f>
        <v>1306.81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15198.35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20389.5</v>
      </c>
      <c r="D87" s="95">
        <f>SUM('DOE25'!G152:G160)</f>
        <v>24125.68</v>
      </c>
      <c r="E87" s="95">
        <f>SUM('DOE25'!H152:H160)</f>
        <v>67893.460000000006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20389.5</v>
      </c>
      <c r="D90" s="131">
        <f>SUM(D84:D89)</f>
        <v>24125.68</v>
      </c>
      <c r="E90" s="131">
        <f>SUM(E84:E89)</f>
        <v>83091.810000000012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16100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16100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4961049.55</v>
      </c>
      <c r="D103" s="86">
        <f>D62+D80+D90+D102</f>
        <v>117170.48999999999</v>
      </c>
      <c r="E103" s="86">
        <f>E62+E80+E90+E102</f>
        <v>83091.810000000012</v>
      </c>
      <c r="F103" s="86">
        <f>F62+F80+F90+F102</f>
        <v>0</v>
      </c>
      <c r="G103" s="86">
        <f>G62+G80+G102</f>
        <v>51.36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2140209.69</v>
      </c>
      <c r="D108" s="24" t="s">
        <v>289</v>
      </c>
      <c r="E108" s="95">
        <f>('DOE25'!L275)+('DOE25'!L294)+('DOE25'!L313)</f>
        <v>11513.17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1168176.2500000002</v>
      </c>
      <c r="D109" s="24" t="s">
        <v>289</v>
      </c>
      <c r="E109" s="95">
        <f>('DOE25'!L276)+('DOE25'!L295)+('DOE25'!L314)</f>
        <v>55033.33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51441.789999999994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3359827.7300000004</v>
      </c>
      <c r="D114" s="86">
        <f>SUM(D108:D113)</f>
        <v>0</v>
      </c>
      <c r="E114" s="86">
        <f>SUM(E108:E113)</f>
        <v>66546.5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111423.19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294678.95999999996</v>
      </c>
      <c r="D118" s="24" t="s">
        <v>289</v>
      </c>
      <c r="E118" s="95">
        <f>+('DOE25'!L281)+('DOE25'!L300)+('DOE25'!L319)</f>
        <v>15390.630000000001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134405.53</v>
      </c>
      <c r="D119" s="24" t="s">
        <v>289</v>
      </c>
      <c r="E119" s="95">
        <f>+('DOE25'!L282)+('DOE25'!L301)+('DOE25'!L320)</f>
        <v>1154.6799999999998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193738.29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431854.62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197057.94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200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117131.20999999999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1363358.5299999998</v>
      </c>
      <c r="D127" s="86">
        <f>SUM(D117:D126)</f>
        <v>117131.20999999999</v>
      </c>
      <c r="E127" s="86">
        <f>SUM(E117:E126)</f>
        <v>16545.310000000001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147519.46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45000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43896.5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16100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51.36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-51.36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252515.96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4975702.22</v>
      </c>
      <c r="D144" s="86">
        <f>(D114+D127+D143)</f>
        <v>117131.20999999999</v>
      </c>
      <c r="E144" s="86">
        <f>(E114+E127+E143)</f>
        <v>83091.81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August 2004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August 2024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1468000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4.54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930000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930000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88896.5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88896.5</v>
      </c>
    </row>
    <row r="158" spans="1:9">
      <c r="A158" s="22" t="s">
        <v>35</v>
      </c>
      <c r="B158" s="137">
        <f>'DOE25'!F497</f>
        <v>885000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885000</v>
      </c>
    </row>
    <row r="159" spans="1:9">
      <c r="A159" s="22" t="s">
        <v>36</v>
      </c>
      <c r="B159" s="137">
        <f>'DOE25'!F498</f>
        <v>293377.77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293377.77</v>
      </c>
    </row>
    <row r="160" spans="1:9">
      <c r="A160" s="22" t="s">
        <v>37</v>
      </c>
      <c r="B160" s="137">
        <f>'DOE25'!F499</f>
        <v>1178377.77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1178377.77</v>
      </c>
    </row>
    <row r="161" spans="1:7">
      <c r="A161" s="22" t="s">
        <v>38</v>
      </c>
      <c r="B161" s="137">
        <f>'DOE25'!F500</f>
        <v>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50000</v>
      </c>
    </row>
    <row r="162" spans="1:7">
      <c r="A162" s="22" t="s">
        <v>39</v>
      </c>
      <c r="B162" s="137">
        <f>'DOE25'!F501</f>
        <v>41521.5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41521.5</v>
      </c>
    </row>
    <row r="163" spans="1:7">
      <c r="A163" s="22" t="s">
        <v>246</v>
      </c>
      <c r="B163" s="137">
        <f>'DOE25'!F502</f>
        <v>91521.5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91521.5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0" t="s">
        <v>740</v>
      </c>
      <c r="B1" s="280"/>
      <c r="C1" s="280"/>
      <c r="D1" s="280"/>
    </row>
    <row r="2" spans="1:4">
      <c r="A2" s="187" t="s">
        <v>717</v>
      </c>
      <c r="B2" s="186" t="str">
        <f>'DOE25'!A2</f>
        <v>HAMPTON FALLS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16949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16949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2151723</v>
      </c>
      <c r="D10" s="182">
        <f>ROUND((C10/$C$28)*100,1)</f>
        <v>44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1223210</v>
      </c>
      <c r="D11" s="182">
        <f>ROUND((C11/$C$28)*100,1)</f>
        <v>25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51442</v>
      </c>
      <c r="D13" s="182">
        <f>ROUND((C13/$C$28)*100,1)</f>
        <v>1.1000000000000001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111423</v>
      </c>
      <c r="D15" s="182">
        <f t="shared" ref="D15:D27" si="0">ROUND((C15/$C$28)*100,1)</f>
        <v>2.2999999999999998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310070</v>
      </c>
      <c r="D16" s="182">
        <f t="shared" si="0"/>
        <v>6.3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135760</v>
      </c>
      <c r="D17" s="182">
        <f t="shared" si="0"/>
        <v>2.8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193738</v>
      </c>
      <c r="D18" s="182">
        <f t="shared" si="0"/>
        <v>4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431855</v>
      </c>
      <c r="D20" s="182">
        <f t="shared" si="0"/>
        <v>8.8000000000000007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197058</v>
      </c>
      <c r="D21" s="182">
        <f t="shared" si="0"/>
        <v>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43897</v>
      </c>
      <c r="D25" s="182">
        <f t="shared" si="0"/>
        <v>0.9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41493</v>
      </c>
      <c r="D27" s="182">
        <f t="shared" si="0"/>
        <v>0.8</v>
      </c>
    </row>
    <row r="28" spans="1:4">
      <c r="B28" s="187" t="s">
        <v>723</v>
      </c>
      <c r="C28" s="180">
        <f>SUM(C10:C27)</f>
        <v>4891669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147519</v>
      </c>
    </row>
    <row r="30" spans="1:4">
      <c r="B30" s="187" t="s">
        <v>729</v>
      </c>
      <c r="C30" s="180">
        <f>SUM(C28:C29)</f>
        <v>5039188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45000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3981537</v>
      </c>
      <c r="D35" s="182">
        <f t="shared" ref="D35:D40" si="1">ROUND((C35/$C$41)*100,1)</f>
        <v>78.5</v>
      </c>
    </row>
    <row r="36" spans="1:4">
      <c r="B36" s="185" t="s">
        <v>743</v>
      </c>
      <c r="C36" s="179">
        <f>SUM('DOE25'!F111:J111)-SUM('DOE25'!G96:G109)+('DOE25'!F173+'DOE25'!F174+'DOE25'!I173+'DOE25'!I174)-C35</f>
        <v>36762.619999999646</v>
      </c>
      <c r="D36" s="182">
        <f t="shared" si="1"/>
        <v>0.7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777721</v>
      </c>
      <c r="D37" s="182">
        <f t="shared" si="1"/>
        <v>15.3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145998</v>
      </c>
      <c r="D38" s="182">
        <f t="shared" si="1"/>
        <v>2.9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127607</v>
      </c>
      <c r="D39" s="182">
        <f t="shared" si="1"/>
        <v>2.5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5069625.6199999992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5" activePane="bottomLeft" state="frozen"/>
      <selection pane="bottomLeft" activeCell="C8" sqref="C8:M8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4"/>
      <c r="K1" s="214"/>
      <c r="L1" s="214"/>
      <c r="M1" s="215"/>
    </row>
    <row r="2" spans="1:26" ht="12.75">
      <c r="A2" s="293" t="s">
        <v>767</v>
      </c>
      <c r="B2" s="294"/>
      <c r="C2" s="294"/>
      <c r="D2" s="294"/>
      <c r="E2" s="294"/>
      <c r="F2" s="289" t="str">
        <f>'DOE25'!A2</f>
        <v>HAMPTON FALLS</v>
      </c>
      <c r="G2" s="290"/>
      <c r="H2" s="290"/>
      <c r="I2" s="290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>
        <v>4</v>
      </c>
      <c r="B6" s="220">
        <v>9</v>
      </c>
      <c r="C6" s="281" t="s">
        <v>913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 t="s">
        <v>914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 t="s">
        <v>915</v>
      </c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2012-08-23T16:46:39Z</cp:lastPrinted>
  <dcterms:created xsi:type="dcterms:W3CDTF">1997-12-04T19:04:30Z</dcterms:created>
  <dcterms:modified xsi:type="dcterms:W3CDTF">2012-11-28T14:42:58Z</dcterms:modified>
</cp:coreProperties>
</file>